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4955" windowHeight="7680" activeTab="0"/>
  </bookViews>
  <sheets>
    <sheet name="Ready Reckoner" sheetId="1" r:id="rId1"/>
    <sheet name="Standing Data" sheetId="2" r:id="rId2"/>
    <sheet name="Tax Data" sheetId="3" r:id="rId3"/>
    <sheet name="Your tax code" sheetId="4" r:id="rId4"/>
  </sheets>
  <definedNames>
    <definedName name="_xlnm.Print_Area" localSheetId="0">'Ready Reckoner'!$A$1:$F$63</definedName>
  </definedNames>
  <calcPr fullCalcOnLoad="1"/>
</workbook>
</file>

<file path=xl/sharedStrings.xml><?xml version="1.0" encoding="utf-8"?>
<sst xmlns="http://schemas.openxmlformats.org/spreadsheetml/2006/main" count="283" uniqueCount="178">
  <si>
    <t>Car:</t>
  </si>
  <si>
    <t>List price</t>
  </si>
  <si>
    <t>£</t>
  </si>
  <si>
    <t>g/Km</t>
  </si>
  <si>
    <t>Pension (USS)</t>
  </si>
  <si>
    <t>Pension (ERBS)</t>
  </si>
  <si>
    <t>Car Parking</t>
  </si>
  <si>
    <t>Cycle Scheme reduction</t>
  </si>
  <si>
    <t>Your tax code</t>
  </si>
  <si>
    <t>Monthly salary</t>
  </si>
  <si>
    <t>2009-10</t>
  </si>
  <si>
    <t>Tax due</t>
  </si>
  <si>
    <t>Tax saving</t>
  </si>
  <si>
    <t>Net cost of car per month after tax saving</t>
  </si>
  <si>
    <t>Net taxable after SX for car</t>
  </si>
  <si>
    <t>CO2 Scale charge</t>
  </si>
  <si>
    <t>In pension scheme</t>
  </si>
  <si>
    <t>NIC Rate</t>
  </si>
  <si>
    <t>Net cost of car per month after tax &amp; NIC saving</t>
  </si>
  <si>
    <t>Per Annum</t>
  </si>
  <si>
    <t>Benefit in kind</t>
  </si>
  <si>
    <t>Total cost to employee</t>
  </si>
  <si>
    <t>Tax saved by SX</t>
  </si>
  <si>
    <t>Net cost to employee</t>
  </si>
  <si>
    <t>Per month</t>
  </si>
  <si>
    <r>
      <t xml:space="preserve">NIC Due </t>
    </r>
    <r>
      <rPr>
        <b/>
        <sz val="10"/>
        <rFont val="Arial"/>
        <family val="2"/>
      </rPr>
      <t>pre car</t>
    </r>
  </si>
  <si>
    <r>
      <t xml:space="preserve">NIC Due </t>
    </r>
    <r>
      <rPr>
        <b/>
        <sz val="10"/>
        <rFont val="Arial"/>
        <family val="2"/>
      </rPr>
      <t>post car</t>
    </r>
  </si>
  <si>
    <t>SUMMARY</t>
  </si>
  <si>
    <t>Monthly benefit</t>
  </si>
  <si>
    <t>Basic rate tax band</t>
  </si>
  <si>
    <t>2008-09</t>
  </si>
  <si>
    <t>Personal Allowance</t>
  </si>
  <si>
    <t>UEL</t>
  </si>
  <si>
    <t>Standing Data</t>
  </si>
  <si>
    <t>Total reductions from salary per month</t>
  </si>
  <si>
    <t>You should include any monthly AVC in this figure</t>
  </si>
  <si>
    <t>Childcare Vouchers</t>
  </si>
  <si>
    <r>
      <t xml:space="preserve">You should enter below the </t>
    </r>
    <r>
      <rPr>
        <b/>
        <u val="single"/>
        <sz val="10"/>
        <rFont val="Arial"/>
        <family val="2"/>
      </rPr>
      <t>monthly</t>
    </r>
    <r>
      <rPr>
        <sz val="10"/>
        <rFont val="Arial"/>
        <family val="0"/>
      </rPr>
      <t xml:space="preserve"> figures for other Salary Exchange schemes you already participate in (these are shown on your payslip)</t>
    </r>
  </si>
  <si>
    <t>Hide this row.</t>
  </si>
  <si>
    <t>This could include a test/warning for Earnings Threshold and - if we ask for hours per month - minimum wage.</t>
  </si>
  <si>
    <t>Taxable and NI-able salary (per month)</t>
  </si>
  <si>
    <t>This ready reckoner is provided to assist you to work out the net cost of the vehicle you have selected. This information is indicative and should not be treated as definitive.</t>
  </si>
  <si>
    <t>Please note that the University Payroll Office cannot provide individual calculations for you.</t>
  </si>
  <si>
    <t>Enter details in the highlighted boxes</t>
  </si>
  <si>
    <t>Administrative Charge (from net salary)</t>
  </si>
  <si>
    <t>CO2</t>
  </si>
  <si>
    <t>2009/2010</t>
  </si>
  <si>
    <t>2010/2011</t>
  </si>
  <si>
    <t>Hide this row. This converts the actual CO2 emission figure into a CO2 emission band.</t>
  </si>
  <si>
    <t>CO2 Emissions</t>
  </si>
  <si>
    <r>
      <t xml:space="preserve">Enter the figure for CO2 emissions - you will find this under </t>
    </r>
    <r>
      <rPr>
        <i/>
        <sz val="10"/>
        <rFont val="Arial"/>
        <family val="2"/>
      </rPr>
      <t>fuel consumption</t>
    </r>
    <r>
      <rPr>
        <sz val="10"/>
        <rFont val="Arial"/>
        <family val="0"/>
      </rPr>
      <t xml:space="preserve"> on the Lombard Vehicle Management website</t>
    </r>
  </si>
  <si>
    <t>Car Benefit - step two</t>
  </si>
  <si>
    <t>Hide this row. This concatanates the car benefit charge and the fuel type for the lookup table.</t>
  </si>
  <si>
    <t>D120</t>
  </si>
  <si>
    <t>D130</t>
  </si>
  <si>
    <t>D135</t>
  </si>
  <si>
    <t>D140</t>
  </si>
  <si>
    <t>H120</t>
  </si>
  <si>
    <t>H130</t>
  </si>
  <si>
    <t>H135</t>
  </si>
  <si>
    <t>H140</t>
  </si>
  <si>
    <t>P120</t>
  </si>
  <si>
    <t>P130</t>
  </si>
  <si>
    <t>P135</t>
  </si>
  <si>
    <t>P140</t>
  </si>
  <si>
    <t>D</t>
  </si>
  <si>
    <t>Diesel</t>
  </si>
  <si>
    <r>
      <t xml:space="preserve">This is your </t>
    </r>
    <r>
      <rPr>
        <u val="single"/>
        <sz val="10"/>
        <rFont val="Arial"/>
        <family val="2"/>
      </rPr>
      <t>monthly</t>
    </r>
    <r>
      <rPr>
        <sz val="10"/>
        <rFont val="Arial"/>
        <family val="0"/>
      </rPr>
      <t xml:space="preserve"> reference salary prior to any salary exchange arrangements and prior to any statutory deductions.</t>
    </r>
  </si>
  <si>
    <t>Car Fuel Type</t>
  </si>
  <si>
    <t>Taxable and NI-able salary (per year)</t>
  </si>
  <si>
    <t>Hide this row. We could use this calculation for a warning for the NIC Earnings Threshold.</t>
  </si>
  <si>
    <t>Calculation of Tax Liability</t>
  </si>
  <si>
    <t>BR</t>
  </si>
  <si>
    <t>Prefix</t>
  </si>
  <si>
    <t>Number</t>
  </si>
  <si>
    <t>Suffix</t>
  </si>
  <si>
    <t>Basis</t>
  </si>
  <si>
    <t>Earnings threshold per month</t>
  </si>
  <si>
    <t>Tax Prefix</t>
  </si>
  <si>
    <t>Taxable Pay (pre tax allowances)</t>
  </si>
  <si>
    <t>K Codes Uplift</t>
  </si>
  <si>
    <t>Adjusted taxable pay</t>
  </si>
  <si>
    <t>Tax if D0</t>
  </si>
  <si>
    <t>Tax if BR</t>
  </si>
  <si>
    <t>No prefix</t>
  </si>
  <si>
    <t>HR</t>
  </si>
  <si>
    <t>Tax code allowance</t>
  </si>
  <si>
    <t>Tax due (pre SX for CAR)</t>
  </si>
  <si>
    <t>Pre SX for Car</t>
  </si>
  <si>
    <t>Post SX for Car</t>
  </si>
  <si>
    <t>NIC Saving pa</t>
  </si>
  <si>
    <t>NIC Saving pm</t>
  </si>
  <si>
    <t>Benefit in Kind pm</t>
  </si>
  <si>
    <t>For examples/guidance on how to complete this section, see</t>
  </si>
  <si>
    <t>Participants in the Car Scheme should be aware that tax rates are subject to change from year-to-year.</t>
  </si>
  <si>
    <t>Total NET cost of car (excl admin + insurance)</t>
  </si>
  <si>
    <t>Salary given up (including insurance)</t>
  </si>
  <si>
    <t>Insurance</t>
  </si>
  <si>
    <t>These figures are based on your current tax coding which is subject to change by HMRC.</t>
  </si>
  <si>
    <t>Hide this row: this is the validation for the drop down list for car fuel type</t>
  </si>
  <si>
    <t>Insurance Group</t>
  </si>
  <si>
    <t>Annual Cost</t>
  </si>
  <si>
    <t>Monthly Cost</t>
  </si>
  <si>
    <t>Insurance Groups</t>
  </si>
  <si>
    <t>Hide this row: this is the look-up table for the insurance costs</t>
  </si>
  <si>
    <t>Hide this row. This is the look-up figure for insurance costs for this group.</t>
  </si>
  <si>
    <t>University of Exeter Car Scheme: Salary Exchange Calculator</t>
  </si>
  <si>
    <t>Tax cost of HMRC scale charge for being provided with a car by your employer</t>
  </si>
  <si>
    <t>NIC saved by SX</t>
  </si>
  <si>
    <t>This is the figure for the monthly Salary Exchange reduction</t>
  </si>
  <si>
    <t>Monthly rental</t>
  </si>
  <si>
    <r>
      <t xml:space="preserve">This is the figure shown on the Lombard Vehicle Management website for </t>
    </r>
    <r>
      <rPr>
        <b/>
        <i/>
        <sz val="10"/>
        <rFont val="Arial"/>
        <family val="2"/>
      </rPr>
      <t xml:space="preserve">Total Rental </t>
    </r>
    <r>
      <rPr>
        <sz val="10"/>
        <rFont val="Arial"/>
        <family val="0"/>
      </rPr>
      <t>(note that this does not include VAT).</t>
    </r>
  </si>
  <si>
    <r>
      <t xml:space="preserve">This is the figure shown on the Lombard Vehicle Management website for </t>
    </r>
    <r>
      <rPr>
        <b/>
        <i/>
        <sz val="10"/>
        <rFont val="Arial"/>
        <family val="2"/>
      </rPr>
      <t xml:space="preserve">List Price for Tax (P11D) </t>
    </r>
  </si>
  <si>
    <r>
      <t>This is the figure for the monthly Salary Exchange reduction</t>
    </r>
    <r>
      <rPr>
        <sz val="10"/>
        <rFont val="Arial"/>
        <family val="0"/>
      </rPr>
      <t xml:space="preserve">. </t>
    </r>
  </si>
  <si>
    <t>2010-2011</t>
  </si>
  <si>
    <t>Upper Accruals Point</t>
  </si>
  <si>
    <t>Amt on which NIC due at &lt;UAP</t>
  </si>
  <si>
    <t>Amt on which NIC due between UAP &amp; UEL</t>
  </si>
  <si>
    <t>Amt on which NIC due above UEL</t>
  </si>
  <si>
    <t>D75</t>
  </si>
  <si>
    <t>H75</t>
  </si>
  <si>
    <t>P75</t>
  </si>
  <si>
    <t>"Vehicles that cannot produce more than 0g/Km under any circumstances when driven"</t>
  </si>
  <si>
    <t>"Ultra-low carbon"</t>
  </si>
  <si>
    <t>Z0</t>
  </si>
  <si>
    <t>Z</t>
  </si>
  <si>
    <t>Zero Emission</t>
  </si>
  <si>
    <t>Date of this version:11 May 2010</t>
  </si>
  <si>
    <t>This reckoner is only valid for vehicles with CO2 emissions up to 144g/Km</t>
  </si>
  <si>
    <t>This reckoner is only valid for vehicles with CO2 emissions up to 135g/Km</t>
  </si>
  <si>
    <t>Monthly rental including VAT @ 20% and insurance</t>
  </si>
  <si>
    <t>http://www.parkers.co.uk/insurance/</t>
  </si>
  <si>
    <t>Enter the insurance group for the vehice as shown on the Lombard Vehicle Management website. If the insurance group is not shown, you can look it up at:</t>
  </si>
  <si>
    <t>(Rates include IPT as advised by Paul Hirst in email of 15/12/10)</t>
  </si>
  <si>
    <t>2011-2012</t>
  </si>
  <si>
    <t>2011/2012</t>
  </si>
  <si>
    <t>D125</t>
  </si>
  <si>
    <t>A75</t>
  </si>
  <si>
    <t>A125</t>
  </si>
  <si>
    <t>A130</t>
  </si>
  <si>
    <t>A135</t>
  </si>
  <si>
    <t>A140</t>
  </si>
  <si>
    <t>A120</t>
  </si>
  <si>
    <t>A code replaces Hybrids and Petrol as of April 11</t>
  </si>
  <si>
    <t>Petrol/Hybrid</t>
  </si>
  <si>
    <t>A</t>
  </si>
  <si>
    <t>Enter Petrol &amp; Hybrid=A; Diesel=D; Zero emission=Z</t>
  </si>
  <si>
    <t>NIC Ees Rebate</t>
  </si>
  <si>
    <t>Secondary Threshold</t>
  </si>
  <si>
    <t>Primary Threshold</t>
  </si>
  <si>
    <t>LEL</t>
  </si>
  <si>
    <t>Rebate - part 1 (ST-LEL)</t>
  </si>
  <si>
    <t>Rate of rebate</t>
  </si>
  <si>
    <t>Rebate - part 2 (PT-ST)</t>
  </si>
  <si>
    <t>Rebate - part 1 (£)</t>
  </si>
  <si>
    <t>Rebate - part 2 (£)</t>
  </si>
  <si>
    <t>Total rebate for EE (per annum)</t>
  </si>
  <si>
    <t>This is the tax charge on the taxable value for the tax year 2011/2012. This figure may be different for subsequent tax years.</t>
  </si>
  <si>
    <t>Guidance for entry of tax code for Variable Salary Calculator.</t>
  </si>
  <si>
    <t>You will find your tax code on your payslip.</t>
  </si>
  <si>
    <t>Enter pre-fix, number, suffix and basis separately from your latest payslip.</t>
  </si>
  <si>
    <t>If your payslip has "cumulative" after your tax code, enter 0 (zero) in the Basis Box.</t>
  </si>
  <si>
    <t>If your payslip has "month 1" or "week 1" after your tax code, enter 1 in the Basis Box.</t>
  </si>
  <si>
    <t>Examples</t>
  </si>
  <si>
    <t> Number </t>
  </si>
  <si>
    <t>627L0</t>
  </si>
  <si>
    <t>enter</t>
  </si>
  <si>
    <t>L</t>
  </si>
  <si>
    <t>627L</t>
  </si>
  <si>
    <t>627L1</t>
  </si>
  <si>
    <t>NT</t>
  </si>
  <si>
    <t>D0</t>
  </si>
  <si>
    <t>K350</t>
  </si>
  <si>
    <t>K</t>
  </si>
  <si>
    <t>Car Scheme</t>
  </si>
  <si>
    <t>See tab "Your tax code"</t>
  </si>
  <si>
    <t>Date of this version: November 2011</t>
  </si>
  <si>
    <t>For the tax year 2011/2012. The figures may be different for subsequent tax years. You should also note that the 'salary given up' figure will increase with changes to VAT.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</si>
</sst>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0_-;\-* #,##0.000_-;_-* &quot;-&quot;??_-;_-@_-"/>
    <numFmt numFmtId="166" formatCode="#,##0_ ;\-#,##0\ "/>
    <numFmt numFmtId="167" formatCode="#,##0.00;\(#,##0.00\)"/>
    <numFmt numFmtId="168" formatCode="0.0%"/>
  </numFmts>
  <fonts count="57">
    <font>
      <sz val="10"/>
      <name val="Arial"/>
      <family val="0"/>
    </font>
    <font>
      <sz val="11"/>
      <color indexed="8"/>
      <name val="Calibri"/>
      <family val="2"/>
    </font>
    <font>
      <sz val="8"/>
      <name val="Arial"/>
      <family val="2"/>
    </font>
    <font>
      <u val="singleAccounting"/>
      <sz val="10"/>
      <name val="Arial"/>
      <family val="2"/>
    </font>
    <font>
      <b/>
      <sz val="10"/>
      <name val="Arial"/>
      <family val="2"/>
    </font>
    <font>
      <u val="single"/>
      <sz val="10"/>
      <name val="Arial"/>
      <family val="2"/>
    </font>
    <font>
      <b/>
      <u val="single"/>
      <sz val="10"/>
      <name val="Arial"/>
      <family val="2"/>
    </font>
    <font>
      <i/>
      <sz val="10"/>
      <name val="Arial"/>
      <family val="2"/>
    </font>
    <font>
      <b/>
      <sz val="10"/>
      <color indexed="10"/>
      <name val="Arial"/>
      <family val="2"/>
    </font>
    <font>
      <u val="single"/>
      <sz val="10"/>
      <color indexed="12"/>
      <name val="Arial"/>
      <family val="2"/>
    </font>
    <font>
      <sz val="10"/>
      <color indexed="10"/>
      <name val="Arial"/>
      <family val="2"/>
    </font>
    <font>
      <b/>
      <u val="single"/>
      <sz val="10"/>
      <color indexed="10"/>
      <name val="Arial"/>
      <family val="2"/>
    </font>
    <font>
      <b/>
      <i/>
      <sz val="10"/>
      <name val="Arial"/>
      <family val="2"/>
    </font>
    <font>
      <sz val="16"/>
      <color indexed="8"/>
      <name val="Arial"/>
      <family val="2"/>
    </font>
    <font>
      <b/>
      <sz val="12"/>
      <color indexed="8"/>
      <name val="Arial"/>
      <family val="2"/>
    </font>
    <font>
      <sz val="12"/>
      <color indexed="8"/>
      <name val="Arial"/>
      <family val="2"/>
    </font>
    <font>
      <u val="single"/>
      <sz val="12"/>
      <color indexed="8"/>
      <name val="Arial"/>
      <family val="2"/>
    </font>
    <font>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2"/>
      <color rgb="FF000000"/>
      <name val="Arial"/>
      <family val="2"/>
    </font>
    <font>
      <u val="single"/>
      <sz val="12"/>
      <color rgb="FF000000"/>
      <name val="Arial"/>
      <family val="2"/>
    </font>
    <font>
      <sz val="16"/>
      <color rgb="FF000000"/>
      <name val="Arial"/>
      <family val="2"/>
    </font>
    <font>
      <b/>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FFFFFF"/>
        <bgColor indexed="64"/>
      </patternFill>
    </fill>
    <fill>
      <patternFill patternType="solid">
        <fgColor rgb="FF33FF99"/>
        <bgColor indexed="64"/>
      </patternFill>
    </fill>
    <fill>
      <patternFill patternType="solid">
        <fgColor rgb="FFCCFF6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style="double"/>
    </border>
    <border>
      <left/>
      <right/>
      <top style="thin"/>
      <bottom style="thin"/>
    </border>
    <border>
      <left/>
      <right/>
      <top/>
      <bottom style="thin"/>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right/>
      <top style="thin"/>
      <bottom style="thin"/>
    </border>
    <border>
      <left/>
      <right style="thin"/>
      <top style="thin"/>
      <bottom style="thin"/>
    </border>
    <border>
      <left style="medium">
        <color rgb="FF000000"/>
      </left>
      <right/>
      <top/>
      <bottom/>
    </border>
    <border>
      <left style="medium">
        <color rgb="FF000000"/>
      </left>
      <right/>
      <top/>
      <bottom style="thin">
        <color rgb="FF000000"/>
      </bottom>
    </border>
    <border>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3">
    <xf numFmtId="0" fontId="0" fillId="0" borderId="0" xfId="0" applyAlignment="1">
      <alignment/>
    </xf>
    <xf numFmtId="164" fontId="0" fillId="0" borderId="0" xfId="42" applyNumberFormat="1" applyFont="1" applyAlignment="1">
      <alignment/>
    </xf>
    <xf numFmtId="0" fontId="5" fillId="0" borderId="0" xfId="0" applyFont="1" applyAlignment="1">
      <alignment/>
    </xf>
    <xf numFmtId="0" fontId="6" fillId="33" borderId="0" xfId="0" applyFont="1" applyFill="1" applyBorder="1" applyAlignment="1">
      <alignment/>
    </xf>
    <xf numFmtId="0" fontId="0" fillId="33" borderId="0" xfId="0" applyFill="1" applyBorder="1" applyAlignment="1">
      <alignment/>
    </xf>
    <xf numFmtId="43" fontId="0" fillId="33" borderId="0" xfId="42" applyFont="1" applyFill="1" applyBorder="1" applyAlignment="1">
      <alignment/>
    </xf>
    <xf numFmtId="0" fontId="0" fillId="33" borderId="0" xfId="0" applyFont="1" applyFill="1" applyBorder="1" applyAlignment="1">
      <alignment/>
    </xf>
    <xf numFmtId="43" fontId="4" fillId="33" borderId="0" xfId="42" applyFont="1" applyFill="1" applyBorder="1" applyAlignment="1">
      <alignment/>
    </xf>
    <xf numFmtId="14" fontId="4" fillId="33" borderId="0" xfId="42" applyNumberFormat="1" applyFont="1" applyFill="1" applyBorder="1" applyAlignment="1">
      <alignment/>
    </xf>
    <xf numFmtId="0" fontId="4" fillId="33" borderId="0" xfId="0" applyFont="1" applyFill="1" applyBorder="1" applyAlignment="1">
      <alignment/>
    </xf>
    <xf numFmtId="0" fontId="0" fillId="33" borderId="0" xfId="42" applyNumberFormat="1" applyFont="1" applyFill="1" applyBorder="1" applyAlignment="1">
      <alignment/>
    </xf>
    <xf numFmtId="43" fontId="0" fillId="33" borderId="0" xfId="42" applyFont="1" applyFill="1" applyBorder="1" applyAlignment="1">
      <alignment horizontal="center"/>
    </xf>
    <xf numFmtId="165" fontId="0" fillId="33" borderId="0" xfId="42" applyNumberFormat="1" applyFont="1" applyFill="1" applyBorder="1" applyAlignment="1">
      <alignment/>
    </xf>
    <xf numFmtId="43" fontId="0" fillId="33" borderId="0" xfId="42" applyNumberFormat="1" applyFont="1" applyFill="1" applyBorder="1" applyAlignment="1">
      <alignment/>
    </xf>
    <xf numFmtId="43" fontId="3" fillId="33" borderId="0" xfId="42" applyFont="1" applyFill="1" applyBorder="1" applyAlignment="1">
      <alignment/>
    </xf>
    <xf numFmtId="0" fontId="3" fillId="33" borderId="0" xfId="0" applyFont="1" applyFill="1" applyBorder="1" applyAlignment="1">
      <alignment/>
    </xf>
    <xf numFmtId="164" fontId="0" fillId="34" borderId="10" xfId="42" applyNumberFormat="1" applyFont="1" applyFill="1" applyBorder="1" applyAlignment="1" applyProtection="1">
      <alignment/>
      <protection locked="0"/>
    </xf>
    <xf numFmtId="43" fontId="0" fillId="34" borderId="10" xfId="42" applyFont="1" applyFill="1" applyBorder="1" applyAlignment="1" applyProtection="1">
      <alignment/>
      <protection locked="0"/>
    </xf>
    <xf numFmtId="164" fontId="0" fillId="34" borderId="10" xfId="42" applyNumberFormat="1" applyFont="1" applyFill="1" applyBorder="1" applyAlignment="1" applyProtection="1">
      <alignment horizontal="right"/>
      <protection locked="0"/>
    </xf>
    <xf numFmtId="0" fontId="0" fillId="34" borderId="10" xfId="0" applyFill="1" applyBorder="1" applyAlignment="1" applyProtection="1">
      <alignment/>
      <protection locked="0"/>
    </xf>
    <xf numFmtId="0" fontId="0" fillId="0" borderId="10" xfId="0" applyBorder="1" applyAlignment="1">
      <alignment/>
    </xf>
    <xf numFmtId="9" fontId="0" fillId="0" borderId="10" xfId="0" applyNumberFormat="1" applyBorder="1" applyAlignment="1">
      <alignment/>
    </xf>
    <xf numFmtId="164" fontId="0" fillId="35" borderId="0" xfId="42" applyNumberFormat="1" applyFont="1" applyFill="1" applyBorder="1" applyAlignment="1" applyProtection="1">
      <alignment horizontal="right"/>
      <protection locked="0"/>
    </xf>
    <xf numFmtId="9" fontId="0" fillId="33" borderId="0" xfId="42" applyNumberFormat="1" applyFont="1" applyFill="1" applyBorder="1" applyAlignment="1">
      <alignment/>
    </xf>
    <xf numFmtId="9" fontId="0" fillId="35" borderId="0" xfId="42" applyNumberFormat="1" applyFont="1" applyFill="1" applyBorder="1" applyAlignment="1" applyProtection="1">
      <alignment horizontal="right"/>
      <protection locked="0"/>
    </xf>
    <xf numFmtId="43" fontId="0" fillId="35" borderId="0" xfId="42" applyFont="1" applyFill="1" applyBorder="1" applyAlignment="1" applyProtection="1">
      <alignment/>
      <protection/>
    </xf>
    <xf numFmtId="43" fontId="0" fillId="35" borderId="0" xfId="42" applyFont="1" applyFill="1" applyBorder="1" applyAlignment="1" applyProtection="1">
      <alignment/>
      <protection locked="0"/>
    </xf>
    <xf numFmtId="43" fontId="0" fillId="0" borderId="0" xfId="0" applyNumberFormat="1" applyAlignment="1">
      <alignment/>
    </xf>
    <xf numFmtId="43" fontId="0" fillId="34" borderId="11" xfId="42" applyFont="1" applyFill="1" applyBorder="1" applyAlignment="1" applyProtection="1">
      <alignment/>
      <protection locked="0"/>
    </xf>
    <xf numFmtId="0" fontId="0" fillId="34" borderId="10" xfId="0" applyFill="1" applyBorder="1" applyAlignment="1" applyProtection="1">
      <alignment horizontal="center"/>
      <protection locked="0"/>
    </xf>
    <xf numFmtId="43" fontId="0" fillId="0" borderId="0" xfId="42" applyFont="1" applyAlignment="1">
      <alignment/>
    </xf>
    <xf numFmtId="0" fontId="0" fillId="33" borderId="10" xfId="0" applyFill="1" applyBorder="1" applyAlignment="1">
      <alignment horizontal="center"/>
    </xf>
    <xf numFmtId="43" fontId="0" fillId="33" borderId="10" xfId="42" applyFont="1" applyFill="1" applyBorder="1" applyAlignment="1" applyProtection="1">
      <alignment horizontal="center"/>
      <protection locked="0"/>
    </xf>
    <xf numFmtId="164" fontId="0" fillId="34" borderId="12" xfId="42" applyNumberFormat="1" applyFont="1" applyFill="1" applyBorder="1" applyAlignment="1" applyProtection="1">
      <alignment/>
      <protection locked="0"/>
    </xf>
    <xf numFmtId="43" fontId="0" fillId="33" borderId="13" xfId="42" applyFont="1" applyFill="1" applyBorder="1" applyAlignment="1">
      <alignment/>
    </xf>
    <xf numFmtId="0" fontId="0" fillId="0" borderId="0" xfId="0" applyAlignment="1">
      <alignment horizontal="right"/>
    </xf>
    <xf numFmtId="43" fontId="0" fillId="0" borderId="14" xfId="42" applyFont="1" applyBorder="1" applyAlignment="1">
      <alignment/>
    </xf>
    <xf numFmtId="43" fontId="3" fillId="0" borderId="0" xfId="42" applyFont="1" applyAlignment="1">
      <alignment horizontal="center"/>
    </xf>
    <xf numFmtId="0" fontId="5" fillId="0" borderId="0" xfId="0" applyFont="1" applyAlignment="1">
      <alignment horizontal="center"/>
    </xf>
    <xf numFmtId="0" fontId="0" fillId="33" borderId="0" xfId="0" applyFill="1" applyBorder="1" applyAlignment="1">
      <alignment horizontal="left"/>
    </xf>
    <xf numFmtId="0" fontId="0" fillId="33" borderId="0" xfId="0" applyFill="1" applyBorder="1" applyAlignment="1">
      <alignment wrapText="1"/>
    </xf>
    <xf numFmtId="0" fontId="0" fillId="33" borderId="0" xfId="0" applyFill="1" applyBorder="1" applyAlignment="1">
      <alignment/>
    </xf>
    <xf numFmtId="0" fontId="3" fillId="33" borderId="0" xfId="0" applyFont="1" applyFill="1" applyBorder="1" applyAlignment="1">
      <alignment horizontal="left"/>
    </xf>
    <xf numFmtId="0" fontId="8" fillId="33" borderId="0" xfId="0" applyFont="1" applyFill="1" applyBorder="1" applyAlignment="1">
      <alignment wrapText="1"/>
    </xf>
    <xf numFmtId="0" fontId="0" fillId="33" borderId="0" xfId="0" applyFont="1" applyFill="1" applyBorder="1" applyAlignment="1">
      <alignment wrapText="1"/>
    </xf>
    <xf numFmtId="0" fontId="0" fillId="33" borderId="0" xfId="0" applyFill="1" applyBorder="1" applyAlignment="1">
      <alignment horizontal="left" wrapText="1"/>
    </xf>
    <xf numFmtId="0" fontId="7" fillId="33" borderId="0" xfId="0" applyFont="1" applyFill="1" applyBorder="1" applyAlignment="1">
      <alignment horizontal="right"/>
    </xf>
    <xf numFmtId="0" fontId="8" fillId="33" borderId="0" xfId="0" applyFont="1" applyFill="1" applyBorder="1" applyAlignment="1">
      <alignment/>
    </xf>
    <xf numFmtId="43" fontId="8" fillId="33" borderId="0" xfId="42" applyFont="1" applyFill="1" applyBorder="1" applyAlignment="1">
      <alignment/>
    </xf>
    <xf numFmtId="0" fontId="11" fillId="33" borderId="0" xfId="0" applyFont="1" applyFill="1" applyBorder="1" applyAlignment="1">
      <alignment/>
    </xf>
    <xf numFmtId="0" fontId="10" fillId="33" borderId="10" xfId="0" applyFont="1" applyFill="1" applyBorder="1" applyAlignment="1">
      <alignment/>
    </xf>
    <xf numFmtId="6" fontId="10" fillId="33" borderId="10" xfId="0" applyNumberFormat="1" applyFont="1" applyFill="1" applyBorder="1" applyAlignment="1">
      <alignment/>
    </xf>
    <xf numFmtId="8" fontId="10" fillId="33" borderId="10" xfId="0" applyNumberFormat="1" applyFont="1" applyFill="1" applyBorder="1" applyAlignment="1">
      <alignment/>
    </xf>
    <xf numFmtId="0" fontId="10" fillId="33" borderId="10" xfId="0" applyFont="1" applyFill="1" applyBorder="1" applyAlignment="1">
      <alignment horizontal="right"/>
    </xf>
    <xf numFmtId="166" fontId="0" fillId="34" borderId="10" xfId="42" applyNumberFormat="1" applyFont="1" applyFill="1" applyBorder="1" applyAlignment="1" applyProtection="1">
      <alignment/>
      <protection locked="0"/>
    </xf>
    <xf numFmtId="43" fontId="0" fillId="33" borderId="0" xfId="42" applyFont="1" applyFill="1" applyBorder="1" applyAlignment="1">
      <alignment/>
    </xf>
    <xf numFmtId="43" fontId="0" fillId="33" borderId="15" xfId="42" applyFont="1" applyFill="1" applyBorder="1" applyAlignment="1">
      <alignment/>
    </xf>
    <xf numFmtId="0" fontId="4" fillId="33" borderId="0" xfId="0" applyFont="1" applyFill="1" applyBorder="1" applyAlignment="1">
      <alignment wrapText="1"/>
    </xf>
    <xf numFmtId="167" fontId="0" fillId="33" borderId="0" xfId="42" applyNumberFormat="1" applyFont="1" applyFill="1" applyBorder="1" applyAlignment="1">
      <alignment/>
    </xf>
    <xf numFmtId="0" fontId="0" fillId="0" borderId="10" xfId="0" applyBorder="1" applyAlignment="1">
      <alignment horizontal="center"/>
    </xf>
    <xf numFmtId="9" fontId="0" fillId="33" borderId="0" xfId="0" applyNumberFormat="1" applyFill="1" applyBorder="1" applyAlignment="1">
      <alignment/>
    </xf>
    <xf numFmtId="0" fontId="0" fillId="33" borderId="0" xfId="0" applyFill="1" applyAlignment="1">
      <alignment/>
    </xf>
    <xf numFmtId="43" fontId="0" fillId="33" borderId="0" xfId="42" applyFont="1" applyFill="1" applyAlignment="1">
      <alignment/>
    </xf>
    <xf numFmtId="0" fontId="9" fillId="33" borderId="0" xfId="52" applyFill="1" applyBorder="1" applyAlignment="1" applyProtection="1">
      <alignment wrapText="1"/>
      <protection/>
    </xf>
    <xf numFmtId="0" fontId="52" fillId="33" borderId="10" xfId="0" applyFont="1" applyFill="1" applyBorder="1" applyAlignment="1">
      <alignment/>
    </xf>
    <xf numFmtId="43" fontId="52" fillId="33" borderId="10" xfId="42" applyFont="1" applyFill="1" applyBorder="1" applyAlignment="1">
      <alignment/>
    </xf>
    <xf numFmtId="0" fontId="0" fillId="0" borderId="0" xfId="0" applyFont="1" applyAlignment="1">
      <alignment/>
    </xf>
    <xf numFmtId="9" fontId="0" fillId="0" borderId="0" xfId="0" applyNumberFormat="1" applyBorder="1" applyAlignment="1">
      <alignment/>
    </xf>
    <xf numFmtId="0" fontId="0" fillId="0" borderId="10" xfId="0" applyFont="1" applyBorder="1" applyAlignment="1">
      <alignment horizontal="center"/>
    </xf>
    <xf numFmtId="0" fontId="0" fillId="0" borderId="0" xfId="0" applyBorder="1" applyAlignment="1">
      <alignment horizontal="center"/>
    </xf>
    <xf numFmtId="0" fontId="0" fillId="0" borderId="10" xfId="0" applyFont="1" applyBorder="1" applyAlignment="1">
      <alignment/>
    </xf>
    <xf numFmtId="0" fontId="0" fillId="36" borderId="0" xfId="0" applyFill="1" applyBorder="1" applyAlignment="1">
      <alignment/>
    </xf>
    <xf numFmtId="43" fontId="0" fillId="36" borderId="0" xfId="42" applyFont="1" applyFill="1" applyBorder="1" applyAlignment="1">
      <alignment/>
    </xf>
    <xf numFmtId="168" fontId="0" fillId="0" borderId="0" xfId="58" applyNumberFormat="1" applyFont="1" applyAlignment="1">
      <alignment/>
    </xf>
    <xf numFmtId="0" fontId="0" fillId="34" borderId="10" xfId="0" applyFont="1" applyFill="1" applyBorder="1" applyAlignment="1" applyProtection="1">
      <alignment horizontal="center"/>
      <protection locked="0"/>
    </xf>
    <xf numFmtId="0" fontId="17" fillId="37" borderId="16" xfId="0" applyFont="1" applyFill="1" applyBorder="1" applyAlignment="1">
      <alignment vertical="top" wrapText="1"/>
    </xf>
    <xf numFmtId="0" fontId="17" fillId="37" borderId="17" xfId="0" applyFont="1" applyFill="1" applyBorder="1" applyAlignment="1">
      <alignment vertical="top" wrapText="1"/>
    </xf>
    <xf numFmtId="0" fontId="18" fillId="38" borderId="17" xfId="0" applyFont="1" applyFill="1" applyBorder="1" applyAlignment="1">
      <alignment vertical="top" wrapText="1"/>
    </xf>
    <xf numFmtId="0" fontId="17" fillId="39" borderId="17" xfId="0" applyFont="1" applyFill="1" applyBorder="1" applyAlignment="1">
      <alignment vertical="top" wrapText="1"/>
    </xf>
    <xf numFmtId="0" fontId="17" fillId="39" borderId="17" xfId="0" applyFont="1" applyFill="1" applyBorder="1" applyAlignment="1">
      <alignment horizontal="center" vertical="top" wrapText="1"/>
    </xf>
    <xf numFmtId="0" fontId="17" fillId="39" borderId="18" xfId="0" applyFont="1" applyFill="1" applyBorder="1" applyAlignment="1">
      <alignment vertical="top" wrapText="1"/>
    </xf>
    <xf numFmtId="0" fontId="17" fillId="39" borderId="16" xfId="0" applyFont="1" applyFill="1" applyBorder="1" applyAlignment="1">
      <alignment vertical="top" wrapText="1"/>
    </xf>
    <xf numFmtId="0" fontId="17" fillId="39" borderId="19" xfId="0" applyFont="1" applyFill="1" applyBorder="1" applyAlignment="1">
      <alignment vertical="top" wrapText="1"/>
    </xf>
    <xf numFmtId="0" fontId="17" fillId="39" borderId="19" xfId="0" applyFont="1" applyFill="1" applyBorder="1" applyAlignment="1">
      <alignment horizontal="center" vertical="top" wrapText="1"/>
    </xf>
    <xf numFmtId="0" fontId="0" fillId="33" borderId="0" xfId="52" applyFont="1" applyFill="1" applyBorder="1" applyAlignment="1" applyProtection="1">
      <alignment wrapText="1"/>
      <protection locked="0"/>
    </xf>
    <xf numFmtId="0" fontId="0" fillId="33" borderId="0" xfId="0" applyFont="1" applyFill="1" applyBorder="1" applyAlignment="1">
      <alignment horizontal="left"/>
    </xf>
    <xf numFmtId="43" fontId="0" fillId="34" borderId="20" xfId="42" applyFont="1" applyFill="1" applyBorder="1" applyAlignment="1" applyProtection="1">
      <alignment horizontal="left"/>
      <protection locked="0"/>
    </xf>
    <xf numFmtId="0" fontId="0" fillId="0" borderId="14" xfId="0" applyBorder="1" applyAlignment="1" applyProtection="1">
      <alignment/>
      <protection locked="0"/>
    </xf>
    <xf numFmtId="0" fontId="0" fillId="0" borderId="21" xfId="0" applyBorder="1" applyAlignment="1" applyProtection="1">
      <alignment/>
      <protection locked="0"/>
    </xf>
    <xf numFmtId="0" fontId="0" fillId="33" borderId="0" xfId="0" applyFill="1" applyBorder="1" applyAlignment="1">
      <alignment/>
    </xf>
    <xf numFmtId="0" fontId="0" fillId="0" borderId="0" xfId="0" applyAlignment="1">
      <alignment/>
    </xf>
    <xf numFmtId="43" fontId="3" fillId="0" borderId="0" xfId="42" applyFont="1" applyAlignment="1">
      <alignment horizontal="center"/>
    </xf>
    <xf numFmtId="0" fontId="3" fillId="0" borderId="0" xfId="0" applyFont="1" applyAlignment="1">
      <alignment horizontal="center"/>
    </xf>
    <xf numFmtId="0" fontId="53" fillId="0" borderId="22" xfId="0" applyFont="1" applyBorder="1" applyAlignment="1">
      <alignment vertical="top" wrapText="1"/>
    </xf>
    <xf numFmtId="0" fontId="53" fillId="0" borderId="0" xfId="0" applyFont="1" applyBorder="1" applyAlignment="1">
      <alignment vertical="top" wrapText="1"/>
    </xf>
    <xf numFmtId="0" fontId="54" fillId="0" borderId="23" xfId="0" applyFont="1" applyBorder="1" applyAlignment="1">
      <alignment vertical="top" wrapText="1"/>
    </xf>
    <xf numFmtId="0" fontId="54" fillId="0" borderId="24" xfId="0" applyFont="1" applyBorder="1" applyAlignment="1">
      <alignment vertical="top" wrapText="1"/>
    </xf>
    <xf numFmtId="0" fontId="55" fillId="0" borderId="22" xfId="0" applyFont="1" applyBorder="1" applyAlignment="1">
      <alignment vertical="top" wrapText="1"/>
    </xf>
    <xf numFmtId="0" fontId="55" fillId="0" borderId="0" xfId="0" applyFont="1" applyBorder="1" applyAlignment="1">
      <alignment vertical="top" wrapText="1"/>
    </xf>
    <xf numFmtId="0" fontId="0" fillId="0" borderId="22" xfId="0" applyBorder="1" applyAlignment="1">
      <alignment vertical="top" wrapText="1"/>
    </xf>
    <xf numFmtId="0" fontId="0" fillId="0" borderId="0" xfId="0" applyBorder="1" applyAlignment="1">
      <alignment vertical="top" wrapText="1"/>
    </xf>
    <xf numFmtId="0" fontId="56" fillId="0" borderId="22" xfId="0" applyFont="1" applyBorder="1" applyAlignment="1">
      <alignment vertical="top" wrapText="1"/>
    </xf>
    <xf numFmtId="0" fontId="56" fillId="0" borderId="0" xfId="0"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rkers.co.uk/insuranc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2"/>
  <sheetViews>
    <sheetView tabSelected="1" zoomScalePageLayoutView="0" workbookViewId="0" topLeftCell="A4">
      <selection activeCell="A57" sqref="A57"/>
    </sheetView>
  </sheetViews>
  <sheetFormatPr defaultColWidth="9.140625" defaultRowHeight="12.75"/>
  <cols>
    <col min="1" max="1" width="33.28125" style="4" customWidth="1"/>
    <col min="2" max="2" width="10.7109375" style="4" customWidth="1"/>
    <col min="3" max="3" width="10.7109375" style="5" customWidth="1"/>
    <col min="4" max="5" width="10.7109375" style="4" customWidth="1"/>
    <col min="6" max="6" width="70.7109375" style="40" customWidth="1"/>
    <col min="7" max="7" width="71.57421875" style="4" customWidth="1"/>
    <col min="8" max="16384" width="9.140625" style="4" customWidth="1"/>
  </cols>
  <sheetData>
    <row r="1" spans="1:14" ht="12.75">
      <c r="A1" s="3" t="s">
        <v>106</v>
      </c>
      <c r="F1" s="46" t="s">
        <v>176</v>
      </c>
      <c r="G1" s="61"/>
      <c r="H1" s="61"/>
      <c r="I1" s="61"/>
      <c r="J1" s="61"/>
      <c r="K1" s="62"/>
      <c r="L1" s="61"/>
      <c r="M1" s="61"/>
      <c r="N1" s="61"/>
    </row>
    <row r="2" spans="1:14" ht="12.75">
      <c r="A2" s="6" t="s">
        <v>41</v>
      </c>
      <c r="C2" s="7"/>
      <c r="G2" s="61"/>
      <c r="H2" s="61"/>
      <c r="I2" s="61"/>
      <c r="J2" s="61"/>
      <c r="K2" s="62"/>
      <c r="L2" s="61"/>
      <c r="M2" s="61"/>
      <c r="N2" s="61"/>
    </row>
    <row r="3" spans="1:14" ht="12.75">
      <c r="A3" s="89" t="s">
        <v>129</v>
      </c>
      <c r="B3" s="90"/>
      <c r="C3" s="90"/>
      <c r="D3" s="90"/>
      <c r="G3" s="61"/>
      <c r="H3" s="61"/>
      <c r="I3" s="61"/>
      <c r="J3" s="61"/>
      <c r="K3" s="62"/>
      <c r="L3" s="61"/>
      <c r="M3" s="61"/>
      <c r="N3" s="61"/>
    </row>
    <row r="5" ht="12.75">
      <c r="A5" s="4" t="s">
        <v>42</v>
      </c>
    </row>
    <row r="6" ht="12.75">
      <c r="A6" s="4" t="s">
        <v>98</v>
      </c>
    </row>
    <row r="7" ht="12.75">
      <c r="A7" s="4" t="s">
        <v>94</v>
      </c>
    </row>
    <row r="8" spans="1:6" ht="12.75">
      <c r="A8" s="9" t="s">
        <v>43</v>
      </c>
      <c r="C8" s="10"/>
      <c r="F8" s="43"/>
    </row>
    <row r="9" spans="1:5" ht="12.75">
      <c r="A9" s="4" t="s">
        <v>0</v>
      </c>
      <c r="C9" s="86"/>
      <c r="D9" s="87"/>
      <c r="E9" s="88"/>
    </row>
    <row r="10" spans="1:7" ht="25.5">
      <c r="A10" s="4" t="s">
        <v>1</v>
      </c>
      <c r="B10" s="4" t="s">
        <v>2</v>
      </c>
      <c r="C10" s="33"/>
      <c r="F10" s="40" t="s">
        <v>112</v>
      </c>
      <c r="G10" s="41"/>
    </row>
    <row r="11" spans="1:7" ht="25.5">
      <c r="A11" s="4" t="s">
        <v>110</v>
      </c>
      <c r="B11" s="4" t="s">
        <v>2</v>
      </c>
      <c r="C11" s="17"/>
      <c r="F11" s="45" t="s">
        <v>111</v>
      </c>
      <c r="G11" s="45"/>
    </row>
    <row r="12" spans="1:7" ht="25.5">
      <c r="A12" s="4" t="s">
        <v>100</v>
      </c>
      <c r="C12" s="54"/>
      <c r="F12" s="45" t="s">
        <v>132</v>
      </c>
      <c r="G12" s="45"/>
    </row>
    <row r="13" spans="1:7" ht="12.75" hidden="1">
      <c r="A13" s="4" t="s">
        <v>97</v>
      </c>
      <c r="C13" s="26" t="e">
        <f>LOOKUP(C12,A72:A101,C72:C101)</f>
        <v>#N/A</v>
      </c>
      <c r="F13" s="43" t="s">
        <v>105</v>
      </c>
      <c r="G13" s="45"/>
    </row>
    <row r="14" spans="3:7" ht="12.75" customHeight="1">
      <c r="C14" s="4"/>
      <c r="F14" s="63" t="s">
        <v>131</v>
      </c>
      <c r="G14" s="45"/>
    </row>
    <row r="15" spans="1:7" ht="25.5">
      <c r="A15" s="40" t="s">
        <v>130</v>
      </c>
      <c r="B15" s="4" t="s">
        <v>2</v>
      </c>
      <c r="C15" s="25" t="e">
        <f>(C11*1.2)+C13</f>
        <v>#N/A</v>
      </c>
      <c r="F15" s="57" t="s">
        <v>113</v>
      </c>
      <c r="G15" s="40"/>
    </row>
    <row r="16" spans="1:6" ht="25.5">
      <c r="A16" s="4" t="s">
        <v>49</v>
      </c>
      <c r="B16" s="4" t="s">
        <v>3</v>
      </c>
      <c r="C16" s="16"/>
      <c r="F16" s="40" t="s">
        <v>50</v>
      </c>
    </row>
    <row r="17" spans="1:6" ht="12.75">
      <c r="A17" s="4" t="s">
        <v>68</v>
      </c>
      <c r="C17" s="18"/>
      <c r="F17" s="44" t="s">
        <v>146</v>
      </c>
    </row>
    <row r="18" spans="1:6" ht="25.5" hidden="1">
      <c r="A18" s="4" t="s">
        <v>49</v>
      </c>
      <c r="C18" s="22">
        <f>IF(C16=0,0,(IF(C16&lt;76,75,(IF(C16&lt;121,120,(IF(C16&lt;121,125,(IF(C16&lt;135,135,(IF(C16&lt;140,135,(IF(C16=135,135,(IF(C16&gt;139,140)))))))))))))))</f>
        <v>0</v>
      </c>
      <c r="F18" s="43" t="s">
        <v>48</v>
      </c>
    </row>
    <row r="19" spans="1:6" ht="25.5" hidden="1">
      <c r="A19" s="4" t="s">
        <v>51</v>
      </c>
      <c r="C19" s="24" t="str">
        <f>CONCATENATE(C17,C18)</f>
        <v>0</v>
      </c>
      <c r="F19" s="43" t="s">
        <v>52</v>
      </c>
    </row>
    <row r="20" spans="1:6" ht="25.5">
      <c r="A20" s="4" t="s">
        <v>15</v>
      </c>
      <c r="C20" s="23" t="str">
        <f>IF(ISERROR(VLOOKUP(C19,'Tax Data'!A6:D28,4,FALSE)),"INVALID",VLOOKUP(C19,'Tax Data'!A6:D28,4,FALSE))</f>
        <v>INVALID</v>
      </c>
      <c r="D20" s="60"/>
      <c r="F20" s="44" t="s">
        <v>157</v>
      </c>
    </row>
    <row r="21" spans="1:6" ht="12.75" hidden="1">
      <c r="A21" s="4" t="s">
        <v>28</v>
      </c>
      <c r="C21" s="26" t="e">
        <f>(C10/12)*C20</f>
        <v>#VALUE!</v>
      </c>
      <c r="F21" s="43" t="s">
        <v>38</v>
      </c>
    </row>
    <row r="22" spans="1:6" ht="25.5">
      <c r="A22" s="4" t="s">
        <v>9</v>
      </c>
      <c r="B22" s="4" t="s">
        <v>2</v>
      </c>
      <c r="C22" s="28"/>
      <c r="F22" s="40" t="s">
        <v>67</v>
      </c>
    </row>
    <row r="23" spans="2:6" ht="12.75">
      <c r="B23" s="31" t="s">
        <v>73</v>
      </c>
      <c r="C23" s="32" t="s">
        <v>74</v>
      </c>
      <c r="D23" s="31" t="s">
        <v>75</v>
      </c>
      <c r="E23" s="31" t="s">
        <v>76</v>
      </c>
      <c r="F23" s="40" t="s">
        <v>93</v>
      </c>
    </row>
    <row r="24" spans="1:6" ht="12.75">
      <c r="A24" s="4" t="s">
        <v>8</v>
      </c>
      <c r="B24" s="29"/>
      <c r="C24" s="16"/>
      <c r="D24" s="74"/>
      <c r="E24" s="19"/>
      <c r="F24" s="84" t="s">
        <v>175</v>
      </c>
    </row>
    <row r="25" ht="12.75">
      <c r="A25" s="4" t="s">
        <v>37</v>
      </c>
    </row>
    <row r="26" spans="1:6" ht="12.75">
      <c r="A26" s="4" t="s">
        <v>4</v>
      </c>
      <c r="B26" s="4" t="s">
        <v>2</v>
      </c>
      <c r="C26" s="17"/>
      <c r="F26" s="40" t="s">
        <v>35</v>
      </c>
    </row>
    <row r="27" spans="1:6" ht="12.75">
      <c r="A27" s="4" t="s">
        <v>5</v>
      </c>
      <c r="B27" s="4" t="s">
        <v>2</v>
      </c>
      <c r="C27" s="17"/>
      <c r="F27" s="40" t="s">
        <v>35</v>
      </c>
    </row>
    <row r="28" spans="1:3" ht="12.75">
      <c r="A28" s="4" t="s">
        <v>36</v>
      </c>
      <c r="B28" s="4" t="s">
        <v>2</v>
      </c>
      <c r="C28" s="17"/>
    </row>
    <row r="29" spans="1:3" ht="12.75">
      <c r="A29" s="4" t="s">
        <v>7</v>
      </c>
      <c r="B29" s="4" t="s">
        <v>2</v>
      </c>
      <c r="C29" s="17"/>
    </row>
    <row r="30" spans="1:3" ht="12.75">
      <c r="A30" s="4" t="s">
        <v>6</v>
      </c>
      <c r="B30" s="4" t="s">
        <v>2</v>
      </c>
      <c r="C30" s="17"/>
    </row>
    <row r="31" spans="1:6" ht="12.75" hidden="1">
      <c r="A31" s="4" t="s">
        <v>34</v>
      </c>
      <c r="C31" s="5">
        <f>SUM(C26:C30)</f>
        <v>0</v>
      </c>
      <c r="F31" s="43" t="s">
        <v>38</v>
      </c>
    </row>
    <row r="32" spans="1:6" ht="25.5" hidden="1">
      <c r="A32" s="4" t="s">
        <v>40</v>
      </c>
      <c r="B32" s="4" t="s">
        <v>2</v>
      </c>
      <c r="C32" s="5">
        <f>(C22-C31)</f>
        <v>0</v>
      </c>
      <c r="F32" s="43" t="s">
        <v>39</v>
      </c>
    </row>
    <row r="33" spans="1:6" ht="25.5" hidden="1">
      <c r="A33" s="4" t="s">
        <v>69</v>
      </c>
      <c r="B33" s="4" t="s">
        <v>2</v>
      </c>
      <c r="C33" s="5">
        <f>C32*12</f>
        <v>0</v>
      </c>
      <c r="F33" s="43" t="s">
        <v>70</v>
      </c>
    </row>
    <row r="34" spans="1:6" ht="12.75" hidden="1">
      <c r="A34" s="4" t="s">
        <v>87</v>
      </c>
      <c r="C34" s="5">
        <f>+'Tax Data'!J41</f>
        <v>-1</v>
      </c>
      <c r="F34" s="43" t="s">
        <v>38</v>
      </c>
    </row>
    <row r="35" spans="1:6" ht="12.75" hidden="1">
      <c r="A35" s="9" t="s">
        <v>14</v>
      </c>
      <c r="C35" s="5" t="e">
        <f>C33-(C15*12)</f>
        <v>#N/A</v>
      </c>
      <c r="F35" s="43" t="s">
        <v>38</v>
      </c>
    </row>
    <row r="36" spans="1:6" ht="12.75" hidden="1">
      <c r="A36" s="4" t="s">
        <v>11</v>
      </c>
      <c r="C36" s="5" t="e">
        <f>+'Tax Data'!N41</f>
        <v>#N/A</v>
      </c>
      <c r="F36" s="43" t="s">
        <v>38</v>
      </c>
    </row>
    <row r="37" spans="1:6" ht="12.75" hidden="1">
      <c r="A37" s="9" t="s">
        <v>12</v>
      </c>
      <c r="C37" s="5" t="e">
        <f>(C34-C36)</f>
        <v>#N/A</v>
      </c>
      <c r="F37" s="43" t="s">
        <v>38</v>
      </c>
    </row>
    <row r="38" spans="1:6" ht="12.75" hidden="1">
      <c r="A38" s="9" t="s">
        <v>13</v>
      </c>
      <c r="C38" s="5" t="e">
        <f>(C15-(C37/12))</f>
        <v>#N/A</v>
      </c>
      <c r="F38" s="43" t="s">
        <v>38</v>
      </c>
    </row>
    <row r="39" spans="1:6" ht="12.75" hidden="1">
      <c r="A39" s="4" t="s">
        <v>16</v>
      </c>
      <c r="C39" s="11" t="str">
        <f>IF(C26&gt;0,"Yes",IF(C27&gt;0,"Yes","No"))</f>
        <v>No</v>
      </c>
      <c r="F39" s="43" t="s">
        <v>38</v>
      </c>
    </row>
    <row r="40" spans="1:6" ht="12.75" hidden="1">
      <c r="A40" s="4" t="s">
        <v>17</v>
      </c>
      <c r="C40" s="12">
        <f>IF(C39="Yes",10.4%,12%)</f>
        <v>0.12</v>
      </c>
      <c r="F40" s="43" t="s">
        <v>38</v>
      </c>
    </row>
    <row r="41" spans="1:6" ht="12.75" hidden="1">
      <c r="A41" s="4" t="s">
        <v>116</v>
      </c>
      <c r="C41" s="13">
        <f>IF(C33&gt;'Standing Data'!$E$8,'Standing Data'!$E$8-'Standing Data'!$E$6,C33-'Standing Data'!$E$6)</f>
        <v>-7225</v>
      </c>
      <c r="F41" s="43" t="s">
        <v>38</v>
      </c>
    </row>
    <row r="42" spans="1:6" ht="12.75" hidden="1">
      <c r="A42" s="4" t="s">
        <v>117</v>
      </c>
      <c r="C42" s="13">
        <f>IF(C33&gt;'Standing Data'!$E$9,'Standing Data'!$E$9-'Standing Data'!$E$8,IF(C33&gt;'Standing Data'!$E$8,C33-'Standing Data'!$E$8,0))</f>
        <v>0</v>
      </c>
      <c r="F42" s="43" t="s">
        <v>38</v>
      </c>
    </row>
    <row r="43" spans="1:6" ht="12.75" hidden="1">
      <c r="A43" s="4" t="s">
        <v>118</v>
      </c>
      <c r="C43" s="13">
        <f>IF(C33&gt;'Standing Data'!$E$9,C33-'Standing Data'!$E$9,0)</f>
        <v>0</v>
      </c>
      <c r="F43" s="43" t="s">
        <v>38</v>
      </c>
    </row>
    <row r="44" spans="1:6" ht="12.75" hidden="1">
      <c r="A44" s="71" t="s">
        <v>25</v>
      </c>
      <c r="B44" s="71"/>
      <c r="C44" s="72">
        <f>((C41*$C$40)+(C42*12%)+(C43*2%)-'Standing Data'!E20)</f>
        <v>-897.736</v>
      </c>
      <c r="F44" s="43" t="s">
        <v>38</v>
      </c>
    </row>
    <row r="45" spans="1:6" ht="12.75" hidden="1">
      <c r="A45" s="4" t="s">
        <v>116</v>
      </c>
      <c r="C45" s="13" t="e">
        <f>IF(C35&gt;'Standing Data'!$E$8,'Standing Data'!$E$8-'Standing Data'!$E$6,C35-'Standing Data'!$E$6)</f>
        <v>#N/A</v>
      </c>
      <c r="F45" s="43" t="s">
        <v>38</v>
      </c>
    </row>
    <row r="46" spans="1:6" ht="12.75" hidden="1">
      <c r="A46" s="4" t="s">
        <v>117</v>
      </c>
      <c r="C46" s="13" t="e">
        <f>IF(C35&gt;'Standing Data'!$E$9,'Standing Data'!$E$9-'Standing Data'!$E$8,IF(C35&gt;'Standing Data'!$E$8,C35-'Standing Data'!$E$8,0))</f>
        <v>#N/A</v>
      </c>
      <c r="F46" s="43" t="s">
        <v>38</v>
      </c>
    </row>
    <row r="47" spans="1:6" ht="12.75" hidden="1">
      <c r="A47" s="4" t="s">
        <v>118</v>
      </c>
      <c r="C47" s="13" t="e">
        <f>IF(C35&gt;'Standing Data'!$E$9,C35-'Standing Data'!$E$9,0)</f>
        <v>#N/A</v>
      </c>
      <c r="F47" s="43" t="s">
        <v>38</v>
      </c>
    </row>
    <row r="48" spans="1:6" ht="12.75" hidden="1">
      <c r="A48" s="71" t="s">
        <v>26</v>
      </c>
      <c r="B48" s="71"/>
      <c r="C48" s="72" t="e">
        <f>((C45*$C$40)+(C46*12%)+(C47*2%)-'Standing Data'!E20)</f>
        <v>#N/A</v>
      </c>
      <c r="F48" s="43" t="s">
        <v>38</v>
      </c>
    </row>
    <row r="49" spans="1:6" ht="12.75" hidden="1">
      <c r="A49" s="9" t="s">
        <v>90</v>
      </c>
      <c r="C49" s="5" t="e">
        <f>(C44-C48)</f>
        <v>#N/A</v>
      </c>
      <c r="F49" s="43" t="s">
        <v>38</v>
      </c>
    </row>
    <row r="50" spans="1:6" ht="12.75" hidden="1">
      <c r="A50" s="9" t="s">
        <v>91</v>
      </c>
      <c r="C50" s="5" t="e">
        <f>+C49/12</f>
        <v>#N/A</v>
      </c>
      <c r="F50" s="43" t="s">
        <v>38</v>
      </c>
    </row>
    <row r="51" spans="1:6" ht="12.75" hidden="1">
      <c r="A51" s="9" t="s">
        <v>18</v>
      </c>
      <c r="C51" s="5" t="e">
        <f>(C38-C50)</f>
        <v>#N/A</v>
      </c>
      <c r="F51" s="43" t="s">
        <v>38</v>
      </c>
    </row>
    <row r="52" spans="1:6" ht="12.75" hidden="1">
      <c r="A52" s="71" t="s">
        <v>92</v>
      </c>
      <c r="B52" s="71"/>
      <c r="C52" s="72" t="e">
        <f>IF('Tax Data'!M40&gt;0,C21*40%,C21*20%)</f>
        <v>#N/A</v>
      </c>
      <c r="F52" s="43" t="s">
        <v>38</v>
      </c>
    </row>
    <row r="53" spans="1:6" ht="12.75" hidden="1">
      <c r="A53" s="9" t="s">
        <v>95</v>
      </c>
      <c r="C53" s="5" t="e">
        <f>(C51+C52)</f>
        <v>#N/A</v>
      </c>
      <c r="F53" s="43" t="s">
        <v>38</v>
      </c>
    </row>
    <row r="54" ht="12.75">
      <c r="C54" s="4"/>
    </row>
    <row r="55" spans="1:4" ht="15">
      <c r="A55" s="3" t="s">
        <v>27</v>
      </c>
      <c r="C55" s="14" t="s">
        <v>24</v>
      </c>
      <c r="D55" s="15" t="s">
        <v>19</v>
      </c>
    </row>
    <row r="56" spans="1:7" ht="15">
      <c r="A56" s="85" t="s">
        <v>177</v>
      </c>
      <c r="B56" s="39"/>
      <c r="C56" s="39"/>
      <c r="D56" s="42"/>
      <c r="E56" s="39"/>
      <c r="G56" s="39"/>
    </row>
    <row r="57" spans="1:5" ht="12.75">
      <c r="A57" s="4" t="s">
        <v>96</v>
      </c>
      <c r="B57" s="4" t="s">
        <v>2</v>
      </c>
      <c r="C57" s="48" t="e">
        <f>C15</f>
        <v>#N/A</v>
      </c>
      <c r="D57" s="5" t="e">
        <f>C57*12</f>
        <v>#N/A</v>
      </c>
      <c r="E57" s="48" t="s">
        <v>109</v>
      </c>
    </row>
    <row r="58" spans="1:5" ht="12.75">
      <c r="A58" s="4" t="s">
        <v>44</v>
      </c>
      <c r="B58" s="4" t="s">
        <v>2</v>
      </c>
      <c r="C58" s="56">
        <v>5</v>
      </c>
      <c r="D58" s="56">
        <f>C58*12</f>
        <v>60</v>
      </c>
      <c r="E58" s="5"/>
    </row>
    <row r="59" spans="1:4" ht="12.75">
      <c r="A59" s="4" t="s">
        <v>21</v>
      </c>
      <c r="B59" s="4" t="s">
        <v>2</v>
      </c>
      <c r="C59" s="5" t="e">
        <f>(C57+C58)</f>
        <v>#N/A</v>
      </c>
      <c r="D59" s="5" t="e">
        <f>(D57+D58)</f>
        <v>#N/A</v>
      </c>
    </row>
    <row r="60" spans="1:5" ht="12.75">
      <c r="A60" s="4" t="s">
        <v>20</v>
      </c>
      <c r="B60" s="4" t="s">
        <v>2</v>
      </c>
      <c r="C60" s="55" t="e">
        <f>C52</f>
        <v>#N/A</v>
      </c>
      <c r="D60" s="55" t="e">
        <f>C60*12</f>
        <v>#N/A</v>
      </c>
      <c r="E60" s="5" t="s">
        <v>107</v>
      </c>
    </row>
    <row r="61" spans="1:5" ht="12.75">
      <c r="A61" s="4" t="s">
        <v>22</v>
      </c>
      <c r="B61" s="4" t="s">
        <v>2</v>
      </c>
      <c r="C61" s="58" t="e">
        <f>-(C37/12)</f>
        <v>#N/A</v>
      </c>
      <c r="D61" s="58" t="e">
        <f>C61*12</f>
        <v>#N/A</v>
      </c>
      <c r="E61" s="5"/>
    </row>
    <row r="62" spans="1:5" ht="12.75">
      <c r="A62" s="4" t="s">
        <v>108</v>
      </c>
      <c r="B62" s="4" t="s">
        <v>2</v>
      </c>
      <c r="C62" s="58" t="e">
        <f>-C50</f>
        <v>#N/A</v>
      </c>
      <c r="D62" s="58" t="e">
        <f>C62*12</f>
        <v>#N/A</v>
      </c>
      <c r="E62" s="5"/>
    </row>
    <row r="63" spans="1:5" ht="13.5" thickBot="1">
      <c r="A63" s="4" t="s">
        <v>23</v>
      </c>
      <c r="B63" s="4" t="s">
        <v>2</v>
      </c>
      <c r="C63" s="34" t="e">
        <f>(C59+C60)+C61+C62</f>
        <v>#N/A</v>
      </c>
      <c r="D63" s="34" t="e">
        <f>(D59+D60)+D61+D62</f>
        <v>#N/A</v>
      </c>
      <c r="E63" s="5"/>
    </row>
    <row r="64" spans="4:6" ht="13.5" hidden="1" thickTop="1">
      <c r="D64" s="5"/>
      <c r="E64" s="5"/>
      <c r="F64" s="43" t="s">
        <v>99</v>
      </c>
    </row>
    <row r="65" spans="1:6" ht="12.75" hidden="1">
      <c r="A65" s="49" t="s">
        <v>68</v>
      </c>
      <c r="D65" s="5"/>
      <c r="E65" s="5"/>
      <c r="F65" s="43" t="s">
        <v>99</v>
      </c>
    </row>
    <row r="66" spans="1:6" ht="12.75" hidden="1">
      <c r="A66" s="47" t="s">
        <v>144</v>
      </c>
      <c r="B66" s="48" t="s">
        <v>145</v>
      </c>
      <c r="C66" s="48"/>
      <c r="D66" s="47"/>
      <c r="E66" s="47"/>
      <c r="F66" s="43" t="s">
        <v>99</v>
      </c>
    </row>
    <row r="67" spans="1:5" ht="12.75" hidden="1">
      <c r="A67" s="47" t="s">
        <v>66</v>
      </c>
      <c r="B67" s="48" t="s">
        <v>65</v>
      </c>
      <c r="C67" s="48"/>
      <c r="D67" s="47"/>
      <c r="E67" s="47"/>
    </row>
    <row r="68" spans="1:6" ht="12.75" hidden="1">
      <c r="A68" s="47" t="s">
        <v>126</v>
      </c>
      <c r="B68" s="48" t="s">
        <v>125</v>
      </c>
      <c r="C68" s="48"/>
      <c r="D68" s="47"/>
      <c r="E68" s="47"/>
      <c r="F68" s="43" t="s">
        <v>104</v>
      </c>
    </row>
    <row r="69" spans="3:6" ht="12.75" hidden="1">
      <c r="C69" s="48"/>
      <c r="D69" s="47"/>
      <c r="E69" s="47"/>
      <c r="F69" s="43"/>
    </row>
    <row r="70" ht="12.75" hidden="1">
      <c r="F70" s="43" t="s">
        <v>104</v>
      </c>
    </row>
    <row r="71" spans="1:6" ht="12.75" hidden="1">
      <c r="A71" s="53" t="s">
        <v>103</v>
      </c>
      <c r="B71" s="50" t="s">
        <v>101</v>
      </c>
      <c r="C71" s="50" t="s">
        <v>102</v>
      </c>
      <c r="F71" s="43" t="s">
        <v>104</v>
      </c>
    </row>
    <row r="72" spans="1:6" ht="12.75" hidden="1">
      <c r="A72" s="50">
        <v>1</v>
      </c>
      <c r="B72" s="51">
        <v>432</v>
      </c>
      <c r="C72" s="52">
        <f>B72/12</f>
        <v>36</v>
      </c>
      <c r="F72" s="43" t="s">
        <v>104</v>
      </c>
    </row>
    <row r="73" spans="1:6" ht="12.75" hidden="1">
      <c r="A73" s="50">
        <v>2</v>
      </c>
      <c r="B73" s="51">
        <v>432</v>
      </c>
      <c r="C73" s="52">
        <f>B73/12</f>
        <v>36</v>
      </c>
      <c r="F73" s="43" t="s">
        <v>104</v>
      </c>
    </row>
    <row r="74" spans="1:6" ht="12.75" hidden="1">
      <c r="A74" s="50">
        <v>3</v>
      </c>
      <c r="B74" s="51">
        <v>432</v>
      </c>
      <c r="C74" s="52">
        <f>B74/12</f>
        <v>36</v>
      </c>
      <c r="F74" s="43" t="s">
        <v>104</v>
      </c>
    </row>
    <row r="75" spans="1:6" ht="12.75" hidden="1">
      <c r="A75" s="50">
        <v>4</v>
      </c>
      <c r="B75" s="51">
        <v>432</v>
      </c>
      <c r="C75" s="52">
        <f>B75/12</f>
        <v>36</v>
      </c>
      <c r="F75" s="43" t="s">
        <v>104</v>
      </c>
    </row>
    <row r="76" spans="1:6" ht="12.75" hidden="1">
      <c r="A76" s="50">
        <v>5</v>
      </c>
      <c r="B76" s="51">
        <v>436</v>
      </c>
      <c r="C76" s="52">
        <v>36.36</v>
      </c>
      <c r="F76" s="43" t="s">
        <v>104</v>
      </c>
    </row>
    <row r="77" spans="1:6" ht="12.75" hidden="1">
      <c r="A77" s="50">
        <v>6</v>
      </c>
      <c r="B77" s="51">
        <v>443</v>
      </c>
      <c r="C77" s="52">
        <v>36.91</v>
      </c>
      <c r="F77" s="43" t="s">
        <v>104</v>
      </c>
    </row>
    <row r="78" spans="1:6" ht="12.75" hidden="1">
      <c r="A78" s="50">
        <v>7</v>
      </c>
      <c r="B78" s="51">
        <v>450</v>
      </c>
      <c r="C78" s="52">
        <v>37.46</v>
      </c>
      <c r="F78" s="43" t="s">
        <v>104</v>
      </c>
    </row>
    <row r="79" spans="1:6" ht="12.75" hidden="1">
      <c r="A79" s="50">
        <v>8</v>
      </c>
      <c r="B79" s="51">
        <v>456</v>
      </c>
      <c r="C79" s="52">
        <v>38.02</v>
      </c>
      <c r="F79" s="43" t="s">
        <v>104</v>
      </c>
    </row>
    <row r="80" spans="1:6" ht="12.75" hidden="1">
      <c r="A80" s="50">
        <v>9</v>
      </c>
      <c r="B80" s="51">
        <v>463</v>
      </c>
      <c r="C80" s="52">
        <v>38.59</v>
      </c>
      <c r="F80" s="43" t="s">
        <v>104</v>
      </c>
    </row>
    <row r="81" spans="1:6" ht="12.75" hidden="1">
      <c r="A81" s="50">
        <v>10</v>
      </c>
      <c r="B81" s="51">
        <v>475</v>
      </c>
      <c r="C81" s="52">
        <v>39.56</v>
      </c>
      <c r="F81" s="43" t="s">
        <v>104</v>
      </c>
    </row>
    <row r="82" spans="1:6" ht="12.75" hidden="1">
      <c r="A82" s="50">
        <v>11</v>
      </c>
      <c r="B82" s="51">
        <v>487</v>
      </c>
      <c r="C82" s="52">
        <v>40.54</v>
      </c>
      <c r="F82" s="43" t="s">
        <v>104</v>
      </c>
    </row>
    <row r="83" spans="1:6" ht="12.75" hidden="1">
      <c r="A83" s="50">
        <v>12</v>
      </c>
      <c r="B83" s="51">
        <v>499</v>
      </c>
      <c r="C83" s="52">
        <v>41.56</v>
      </c>
      <c r="F83" s="43" t="s">
        <v>104</v>
      </c>
    </row>
    <row r="84" spans="1:6" ht="12.75" hidden="1">
      <c r="A84" s="50">
        <v>13</v>
      </c>
      <c r="B84" s="51">
        <v>511</v>
      </c>
      <c r="C84" s="52">
        <v>42.6</v>
      </c>
      <c r="F84" s="43" t="s">
        <v>104</v>
      </c>
    </row>
    <row r="85" spans="1:6" ht="12.75" hidden="1">
      <c r="A85" s="50">
        <v>14</v>
      </c>
      <c r="B85" s="51">
        <v>524</v>
      </c>
      <c r="C85" s="52">
        <v>43.66</v>
      </c>
      <c r="F85" s="43" t="s">
        <v>104</v>
      </c>
    </row>
    <row r="86" spans="1:6" ht="12.75" hidden="1">
      <c r="A86" s="50">
        <v>15</v>
      </c>
      <c r="B86" s="51">
        <v>542</v>
      </c>
      <c r="C86" s="52">
        <v>45.19</v>
      </c>
      <c r="F86" s="43" t="s">
        <v>104</v>
      </c>
    </row>
    <row r="87" spans="1:6" ht="12.75" hidden="1">
      <c r="A87" s="50">
        <v>16</v>
      </c>
      <c r="B87" s="51">
        <v>561</v>
      </c>
      <c r="C87" s="52">
        <v>46.77</v>
      </c>
      <c r="F87" s="43" t="s">
        <v>104</v>
      </c>
    </row>
    <row r="88" spans="1:6" ht="12.75" hidden="1">
      <c r="A88" s="50">
        <v>17</v>
      </c>
      <c r="B88" s="51">
        <v>581</v>
      </c>
      <c r="C88" s="52">
        <v>48.41</v>
      </c>
      <c r="F88" s="43" t="s">
        <v>104</v>
      </c>
    </row>
    <row r="89" spans="1:6" ht="12.75" hidden="1">
      <c r="A89" s="50">
        <v>18</v>
      </c>
      <c r="B89" s="51">
        <v>601</v>
      </c>
      <c r="C89" s="52">
        <v>50.1</v>
      </c>
      <c r="F89" s="43" t="s">
        <v>104</v>
      </c>
    </row>
    <row r="90" spans="1:6" ht="12.75" hidden="1">
      <c r="A90" s="50">
        <v>19</v>
      </c>
      <c r="B90" s="51">
        <v>622</v>
      </c>
      <c r="C90" s="52">
        <v>51.86</v>
      </c>
      <c r="F90" s="43" t="s">
        <v>104</v>
      </c>
    </row>
    <row r="91" spans="1:6" ht="12.75" hidden="1">
      <c r="A91" s="50">
        <v>20</v>
      </c>
      <c r="B91" s="51">
        <v>647</v>
      </c>
      <c r="C91" s="52">
        <v>53.93</v>
      </c>
      <c r="F91" s="43" t="s">
        <v>104</v>
      </c>
    </row>
    <row r="92" spans="1:6" ht="12.75" hidden="1">
      <c r="A92" s="64">
        <v>21</v>
      </c>
      <c r="B92" s="64">
        <v>673</v>
      </c>
      <c r="C92" s="65">
        <v>56.09</v>
      </c>
      <c r="F92" s="43" t="s">
        <v>104</v>
      </c>
    </row>
    <row r="93" spans="1:6" ht="12.75" hidden="1">
      <c r="A93" s="64">
        <v>22</v>
      </c>
      <c r="B93" s="64">
        <v>700</v>
      </c>
      <c r="C93" s="65">
        <v>58.33</v>
      </c>
      <c r="F93" s="43" t="s">
        <v>104</v>
      </c>
    </row>
    <row r="94" spans="1:6" ht="12.75" hidden="1">
      <c r="A94" s="64">
        <v>23</v>
      </c>
      <c r="B94" s="64">
        <v>728</v>
      </c>
      <c r="C94" s="65">
        <f>B94/12</f>
        <v>60.666666666666664</v>
      </c>
      <c r="F94" s="43" t="s">
        <v>104</v>
      </c>
    </row>
    <row r="95" spans="1:6" ht="12.75" hidden="1">
      <c r="A95" s="64">
        <v>24</v>
      </c>
      <c r="B95" s="64">
        <v>757</v>
      </c>
      <c r="C95" s="65">
        <v>63.09</v>
      </c>
      <c r="F95" s="43" t="s">
        <v>104</v>
      </c>
    </row>
    <row r="96" spans="1:6" ht="12.75" hidden="1">
      <c r="A96" s="64">
        <v>25</v>
      </c>
      <c r="B96" s="64">
        <v>795</v>
      </c>
      <c r="C96" s="65">
        <f>B96/12</f>
        <v>66.25</v>
      </c>
      <c r="F96" s="43" t="s">
        <v>104</v>
      </c>
    </row>
    <row r="97" spans="1:6" ht="12.75" hidden="1">
      <c r="A97" s="64">
        <v>26</v>
      </c>
      <c r="B97" s="64">
        <v>835</v>
      </c>
      <c r="C97" s="65">
        <v>69.56</v>
      </c>
      <c r="F97" s="43" t="s">
        <v>104</v>
      </c>
    </row>
    <row r="98" spans="1:6" ht="12.75" hidden="1">
      <c r="A98" s="64">
        <v>27</v>
      </c>
      <c r="B98" s="64">
        <v>876</v>
      </c>
      <c r="C98" s="65">
        <v>73.04</v>
      </c>
      <c r="F98" s="43" t="s">
        <v>104</v>
      </c>
    </row>
    <row r="99" spans="1:6" ht="12.75" hidden="1">
      <c r="A99" s="64">
        <v>28</v>
      </c>
      <c r="B99" s="64">
        <v>920</v>
      </c>
      <c r="C99" s="65">
        <v>76.69</v>
      </c>
      <c r="F99" s="43" t="s">
        <v>104</v>
      </c>
    </row>
    <row r="100" spans="1:6" ht="12.75" hidden="1">
      <c r="A100" s="64">
        <v>29</v>
      </c>
      <c r="B100" s="64">
        <v>966</v>
      </c>
      <c r="C100" s="65">
        <v>80.52</v>
      </c>
      <c r="F100" s="43" t="s">
        <v>104</v>
      </c>
    </row>
    <row r="101" spans="1:6" ht="12.75" hidden="1">
      <c r="A101" s="64">
        <v>30</v>
      </c>
      <c r="B101" s="64">
        <v>1015</v>
      </c>
      <c r="C101" s="65">
        <v>84.55</v>
      </c>
      <c r="F101" s="43" t="s">
        <v>104</v>
      </c>
    </row>
    <row r="102" spans="1:6" ht="12.75" hidden="1">
      <c r="A102" s="47" t="s">
        <v>133</v>
      </c>
      <c r="F102" s="43" t="s">
        <v>104</v>
      </c>
    </row>
    <row r="103" ht="13.5" thickTop="1"/>
  </sheetData>
  <sheetProtection selectLockedCells="1"/>
  <mergeCells count="2">
    <mergeCell ref="C9:E9"/>
    <mergeCell ref="A3:D3"/>
  </mergeCells>
  <dataValidations count="2">
    <dataValidation type="list" allowBlank="1" showInputMessage="1" showErrorMessage="1" sqref="C17">
      <formula1>$B$66:$B$68</formula1>
    </dataValidation>
    <dataValidation type="list" allowBlank="1" showInputMessage="1" showErrorMessage="1" sqref="C12">
      <formula1>$A$72:$A$101</formula1>
    </dataValidation>
  </dataValidations>
  <hyperlinks>
    <hyperlink ref="F14" r:id="rId1" display="http://www.parkers.co.uk/insurance/"/>
  </hyperlinks>
  <printOptions/>
  <pageMargins left="0.1968503937007874" right="0.1968503937007874" top="0.1968503937007874" bottom="0.1968503937007874" header="0.5118110236220472" footer="0.5118110236220472"/>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E20"/>
  <sheetViews>
    <sheetView zoomScalePageLayoutView="0" workbookViewId="0" topLeftCell="A1">
      <selection activeCell="E20" sqref="E20"/>
    </sheetView>
  </sheetViews>
  <sheetFormatPr defaultColWidth="9.140625" defaultRowHeight="12.75"/>
  <cols>
    <col min="1" max="1" width="25.00390625" style="0" customWidth="1"/>
    <col min="2" max="3" width="10.28125" style="0" bestFit="1" customWidth="1"/>
  </cols>
  <sheetData>
    <row r="1" ht="12.75">
      <c r="A1" s="2" t="s">
        <v>33</v>
      </c>
    </row>
    <row r="2" spans="2:5" ht="12.75">
      <c r="B2" s="38" t="s">
        <v>30</v>
      </c>
      <c r="C2" s="38" t="s">
        <v>10</v>
      </c>
      <c r="D2" s="2" t="s">
        <v>114</v>
      </c>
      <c r="E2" s="2" t="s">
        <v>134</v>
      </c>
    </row>
    <row r="3" spans="2:5" ht="12.75">
      <c r="B3" s="38" t="s">
        <v>2</v>
      </c>
      <c r="C3" s="38" t="s">
        <v>2</v>
      </c>
      <c r="D3" s="38" t="s">
        <v>2</v>
      </c>
      <c r="E3" s="38" t="s">
        <v>2</v>
      </c>
    </row>
    <row r="4" spans="1:5" ht="12.75">
      <c r="A4" t="s">
        <v>29</v>
      </c>
      <c r="B4" s="1">
        <v>34800</v>
      </c>
      <c r="C4" s="1">
        <v>37400</v>
      </c>
      <c r="D4" s="1">
        <v>37400</v>
      </c>
      <c r="E4" s="1">
        <v>35000</v>
      </c>
    </row>
    <row r="5" spans="1:5" ht="12.75">
      <c r="A5" t="s">
        <v>31</v>
      </c>
      <c r="B5" s="1">
        <v>6035</v>
      </c>
      <c r="C5" s="1">
        <v>6475</v>
      </c>
      <c r="D5" s="1">
        <v>6475</v>
      </c>
      <c r="E5" s="1">
        <v>7475</v>
      </c>
    </row>
    <row r="6" spans="1:5" ht="12.75">
      <c r="A6" s="66" t="s">
        <v>149</v>
      </c>
      <c r="B6" s="1">
        <v>5435</v>
      </c>
      <c r="C6" s="1">
        <v>5720</v>
      </c>
      <c r="D6" s="1">
        <v>5715</v>
      </c>
      <c r="E6" s="1">
        <v>7225</v>
      </c>
    </row>
    <row r="7" spans="1:5" ht="12.75">
      <c r="A7" t="s">
        <v>77</v>
      </c>
      <c r="B7" s="1">
        <f>+B6/12</f>
        <v>452.9166666666667</v>
      </c>
      <c r="C7" s="1">
        <f>+C6/12</f>
        <v>476.6666666666667</v>
      </c>
      <c r="D7" s="1">
        <v>476</v>
      </c>
      <c r="E7" s="1">
        <v>602</v>
      </c>
    </row>
    <row r="8" spans="1:5" ht="12.75">
      <c r="A8" t="s">
        <v>115</v>
      </c>
      <c r="B8" s="1">
        <v>0</v>
      </c>
      <c r="C8" s="1">
        <v>0</v>
      </c>
      <c r="D8" s="1">
        <f>3337*12</f>
        <v>40044</v>
      </c>
      <c r="E8" s="1">
        <v>40040</v>
      </c>
    </row>
    <row r="9" spans="1:5" ht="12.75">
      <c r="A9" t="s">
        <v>32</v>
      </c>
      <c r="B9" s="1">
        <v>40040</v>
      </c>
      <c r="C9" s="1">
        <v>43888</v>
      </c>
      <c r="D9" s="1">
        <f>3656*12</f>
        <v>43872</v>
      </c>
      <c r="E9" s="1">
        <v>42475</v>
      </c>
    </row>
    <row r="10" spans="2:5" ht="12.75">
      <c r="B10" s="1"/>
      <c r="C10" s="1"/>
      <c r="D10" s="1"/>
      <c r="E10" s="1"/>
    </row>
    <row r="11" spans="1:5" ht="12.75">
      <c r="A11" s="2" t="s">
        <v>147</v>
      </c>
      <c r="B11" s="1"/>
      <c r="C11" s="1"/>
      <c r="D11" s="1"/>
      <c r="E11" s="1"/>
    </row>
    <row r="12" spans="1:5" ht="12.75">
      <c r="A12" s="66" t="s">
        <v>148</v>
      </c>
      <c r="B12" s="1"/>
      <c r="C12" s="1"/>
      <c r="D12" s="1"/>
      <c r="E12" s="1">
        <v>7072</v>
      </c>
    </row>
    <row r="13" spans="1:5" ht="12.75">
      <c r="A13" s="66" t="s">
        <v>149</v>
      </c>
      <c r="B13" s="1"/>
      <c r="C13" s="1"/>
      <c r="D13" s="1"/>
      <c r="E13" s="1">
        <f>E6</f>
        <v>7225</v>
      </c>
    </row>
    <row r="14" spans="1:5" ht="12.75">
      <c r="A14" s="66" t="s">
        <v>150</v>
      </c>
      <c r="B14" s="1"/>
      <c r="C14" s="1"/>
      <c r="D14" s="1"/>
      <c r="E14" s="1">
        <v>5304</v>
      </c>
    </row>
    <row r="15" spans="1:5" ht="12.75">
      <c r="A15" s="66" t="s">
        <v>152</v>
      </c>
      <c r="B15" s="1"/>
      <c r="C15" s="1"/>
      <c r="D15" s="1"/>
      <c r="E15" s="73">
        <v>0.016</v>
      </c>
    </row>
    <row r="16" spans="1:5" ht="12.75">
      <c r="A16" s="66" t="s">
        <v>151</v>
      </c>
      <c r="B16" s="1"/>
      <c r="C16" s="1"/>
      <c r="D16" s="1"/>
      <c r="E16" s="1">
        <f>E12-E14</f>
        <v>1768</v>
      </c>
    </row>
    <row r="17" spans="1:5" ht="12.75">
      <c r="A17" s="66" t="s">
        <v>153</v>
      </c>
      <c r="B17" s="1"/>
      <c r="C17" s="1"/>
      <c r="D17" s="1"/>
      <c r="E17" s="1">
        <f>E13-E12</f>
        <v>153</v>
      </c>
    </row>
    <row r="18" spans="1:5" ht="12.75">
      <c r="A18" s="66" t="s">
        <v>154</v>
      </c>
      <c r="E18" s="27">
        <f>E15*E16</f>
        <v>28.288</v>
      </c>
    </row>
    <row r="19" spans="1:5" ht="12.75">
      <c r="A19" s="66" t="s">
        <v>155</v>
      </c>
      <c r="E19" s="27">
        <f>E15*E17</f>
        <v>2.448</v>
      </c>
    </row>
    <row r="20" spans="1:5" ht="12.75">
      <c r="A20" s="66" t="s">
        <v>156</v>
      </c>
      <c r="E20" s="27">
        <f>E18+E19</f>
        <v>30.736</v>
      </c>
    </row>
  </sheetData>
  <sheetProtection/>
  <printOptions gridLines="1" headings="1"/>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43"/>
  <sheetViews>
    <sheetView zoomScalePageLayoutView="0" workbookViewId="0" topLeftCell="A1">
      <selection activeCell="D1" sqref="D1:D65536"/>
    </sheetView>
  </sheetViews>
  <sheetFormatPr defaultColWidth="9.140625" defaultRowHeight="12.75"/>
  <cols>
    <col min="6" max="6" width="10.7109375" style="0" customWidth="1"/>
    <col min="7" max="7" width="9.8515625" style="0" customWidth="1"/>
    <col min="8" max="8" width="11.28125" style="0" bestFit="1" customWidth="1"/>
    <col min="9" max="9" width="10.28125" style="0" bestFit="1" customWidth="1"/>
    <col min="10" max="10" width="11.57421875" style="0" customWidth="1"/>
    <col min="11" max="11" width="9.28125" style="0" bestFit="1" customWidth="1"/>
    <col min="12" max="12" width="11.28125" style="0" bestFit="1" customWidth="1"/>
    <col min="13" max="13" width="10.28125" style="30" bestFit="1" customWidth="1"/>
    <col min="14" max="15" width="10.28125" style="0" bestFit="1" customWidth="1"/>
    <col min="16" max="16" width="10.28125" style="0" customWidth="1"/>
    <col min="17" max="19" width="10.28125" style="0" bestFit="1" customWidth="1"/>
  </cols>
  <sheetData>
    <row r="1" spans="2:8" ht="12.75">
      <c r="B1" s="3" t="s">
        <v>106</v>
      </c>
      <c r="C1" s="4"/>
      <c r="D1" s="4"/>
      <c r="E1" s="5"/>
      <c r="F1" s="4"/>
      <c r="G1" s="4"/>
      <c r="H1" s="46" t="s">
        <v>127</v>
      </c>
    </row>
    <row r="2" spans="2:8" ht="12.75">
      <c r="B2" s="6" t="s">
        <v>41</v>
      </c>
      <c r="C2" s="4"/>
      <c r="D2" s="4"/>
      <c r="E2" s="7"/>
      <c r="F2" s="4"/>
      <c r="G2" s="4"/>
      <c r="H2" s="40"/>
    </row>
    <row r="3" spans="2:8" ht="12.75">
      <c r="B3" s="4" t="s">
        <v>128</v>
      </c>
      <c r="C3" s="4"/>
      <c r="D3" s="4"/>
      <c r="E3" s="8"/>
      <c r="F3" s="4"/>
      <c r="G3" s="4"/>
      <c r="H3" s="40"/>
    </row>
    <row r="5" spans="1:4" ht="12.75">
      <c r="A5" s="59" t="s">
        <v>45</v>
      </c>
      <c r="B5" s="20" t="s">
        <v>46</v>
      </c>
      <c r="C5" s="20" t="s">
        <v>47</v>
      </c>
      <c r="D5" s="70" t="s">
        <v>135</v>
      </c>
    </row>
    <row r="6" spans="1:6" ht="12.75">
      <c r="A6" s="59" t="s">
        <v>124</v>
      </c>
      <c r="B6" s="20"/>
      <c r="C6" s="21">
        <v>0</v>
      </c>
      <c r="D6" s="21">
        <v>0</v>
      </c>
      <c r="F6" t="s">
        <v>122</v>
      </c>
    </row>
    <row r="7" spans="1:6" ht="12.75">
      <c r="A7" s="59" t="s">
        <v>119</v>
      </c>
      <c r="B7" s="20"/>
      <c r="C7" s="21">
        <v>0.05</v>
      </c>
      <c r="D7" s="21">
        <v>0.05</v>
      </c>
      <c r="F7" t="s">
        <v>123</v>
      </c>
    </row>
    <row r="8" spans="1:4" ht="12.75">
      <c r="A8" s="59" t="s">
        <v>53</v>
      </c>
      <c r="B8" s="21">
        <v>0.13</v>
      </c>
      <c r="C8" s="21">
        <v>0.13</v>
      </c>
      <c r="D8" s="21"/>
    </row>
    <row r="9" spans="1:4" ht="12.75">
      <c r="A9" s="68" t="s">
        <v>136</v>
      </c>
      <c r="B9" s="21"/>
      <c r="C9" s="21"/>
      <c r="D9" s="21">
        <v>0.18</v>
      </c>
    </row>
    <row r="10" spans="1:4" ht="12.75">
      <c r="A10" s="59" t="s">
        <v>54</v>
      </c>
      <c r="B10" s="21">
        <v>0.18</v>
      </c>
      <c r="C10" s="21">
        <v>0.18</v>
      </c>
      <c r="D10" s="21">
        <v>0.19</v>
      </c>
    </row>
    <row r="11" spans="1:4" ht="12.75">
      <c r="A11" s="59" t="s">
        <v>55</v>
      </c>
      <c r="B11" s="21">
        <v>0.18</v>
      </c>
      <c r="C11" s="21">
        <v>0.19</v>
      </c>
      <c r="D11" s="21">
        <v>0.2</v>
      </c>
    </row>
    <row r="12" spans="1:4" ht="12.75">
      <c r="A12" s="59" t="s">
        <v>56</v>
      </c>
      <c r="B12" s="21">
        <v>0.19</v>
      </c>
      <c r="C12" s="21">
        <v>0.2</v>
      </c>
      <c r="D12" s="21">
        <v>0.21</v>
      </c>
    </row>
    <row r="13" spans="1:6" ht="12.75">
      <c r="A13" s="59" t="s">
        <v>120</v>
      </c>
      <c r="B13" s="21"/>
      <c r="C13" s="21">
        <v>0.05</v>
      </c>
      <c r="D13" s="21"/>
      <c r="F13" t="s">
        <v>123</v>
      </c>
    </row>
    <row r="14" spans="1:4" ht="12.75">
      <c r="A14" s="59" t="s">
        <v>57</v>
      </c>
      <c r="B14" s="21">
        <v>0.1</v>
      </c>
      <c r="C14" s="21">
        <v>0.1</v>
      </c>
      <c r="D14" s="21"/>
    </row>
    <row r="15" spans="1:4" ht="12.75">
      <c r="A15" s="59" t="s">
        <v>58</v>
      </c>
      <c r="B15" s="21">
        <v>0.12</v>
      </c>
      <c r="C15" s="21">
        <v>0.12</v>
      </c>
      <c r="D15" s="21"/>
    </row>
    <row r="16" spans="1:4" ht="12.75">
      <c r="A16" s="59" t="s">
        <v>59</v>
      </c>
      <c r="B16" s="21">
        <v>0.12</v>
      </c>
      <c r="C16" s="21">
        <v>0.13</v>
      </c>
      <c r="D16" s="21"/>
    </row>
    <row r="17" spans="1:4" ht="12.75">
      <c r="A17" s="59" t="s">
        <v>60</v>
      </c>
      <c r="B17" s="21">
        <v>0.13</v>
      </c>
      <c r="C17" s="21">
        <v>0.14</v>
      </c>
      <c r="D17" s="21"/>
    </row>
    <row r="18" spans="1:6" ht="12.75">
      <c r="A18" s="59" t="s">
        <v>121</v>
      </c>
      <c r="B18" s="21"/>
      <c r="C18" s="21">
        <v>0.05</v>
      </c>
      <c r="D18" s="21"/>
      <c r="F18" t="s">
        <v>123</v>
      </c>
    </row>
    <row r="19" spans="1:11" ht="12.75">
      <c r="A19" s="59" t="s">
        <v>61</v>
      </c>
      <c r="B19" s="21">
        <v>0.1</v>
      </c>
      <c r="C19" s="21">
        <v>0.1</v>
      </c>
      <c r="D19" s="21"/>
      <c r="K19" s="30"/>
    </row>
    <row r="20" spans="1:11" ht="12.75">
      <c r="A20" s="59" t="s">
        <v>62</v>
      </c>
      <c r="B20" s="21">
        <v>0.15</v>
      </c>
      <c r="C20" s="21">
        <v>0.15</v>
      </c>
      <c r="D20" s="21"/>
      <c r="K20" s="27"/>
    </row>
    <row r="21" spans="1:11" ht="12.75">
      <c r="A21" s="59" t="s">
        <v>63</v>
      </c>
      <c r="B21" s="21">
        <v>0.15</v>
      </c>
      <c r="C21" s="21">
        <v>0.16</v>
      </c>
      <c r="D21" s="21"/>
      <c r="K21" s="27"/>
    </row>
    <row r="22" spans="1:4" ht="12.75">
      <c r="A22" s="59" t="s">
        <v>64</v>
      </c>
      <c r="B22" s="21">
        <v>0.16</v>
      </c>
      <c r="C22" s="21">
        <v>0.17</v>
      </c>
      <c r="D22" s="21"/>
    </row>
    <row r="23" spans="1:6" ht="12.75">
      <c r="A23" s="68" t="s">
        <v>137</v>
      </c>
      <c r="B23" s="21"/>
      <c r="C23" s="21"/>
      <c r="D23" s="21">
        <v>0.05</v>
      </c>
      <c r="F23" s="66" t="s">
        <v>143</v>
      </c>
    </row>
    <row r="24" spans="1:4" ht="12.75">
      <c r="A24" s="68" t="s">
        <v>142</v>
      </c>
      <c r="B24" s="21"/>
      <c r="C24" s="21"/>
      <c r="D24" s="21">
        <v>0.1</v>
      </c>
    </row>
    <row r="25" spans="1:4" ht="12.75">
      <c r="A25" s="68" t="s">
        <v>138</v>
      </c>
      <c r="B25" s="21"/>
      <c r="C25" s="21"/>
      <c r="D25" s="21">
        <v>0.15</v>
      </c>
    </row>
    <row r="26" spans="1:4" ht="12.75">
      <c r="A26" s="68" t="s">
        <v>139</v>
      </c>
      <c r="B26" s="21"/>
      <c r="C26" s="21"/>
      <c r="D26" s="21">
        <v>0.16</v>
      </c>
    </row>
    <row r="27" spans="1:4" ht="12.75">
      <c r="A27" s="68" t="s">
        <v>140</v>
      </c>
      <c r="B27" s="21"/>
      <c r="C27" s="21"/>
      <c r="D27" s="21">
        <v>0.17</v>
      </c>
    </row>
    <row r="28" spans="1:4" ht="12.75">
      <c r="A28" s="68" t="s">
        <v>141</v>
      </c>
      <c r="B28" s="21"/>
      <c r="C28" s="21"/>
      <c r="D28" s="21">
        <v>0.18</v>
      </c>
    </row>
    <row r="29" spans="1:4" ht="12.75">
      <c r="A29" s="69"/>
      <c r="B29" s="67"/>
      <c r="C29" s="67"/>
      <c r="D29" s="67"/>
    </row>
    <row r="31" spans="1:14" ht="15">
      <c r="A31" s="2" t="s">
        <v>71</v>
      </c>
      <c r="H31" s="91" t="s">
        <v>88</v>
      </c>
      <c r="I31" s="91"/>
      <c r="J31" s="91"/>
      <c r="K31" s="37"/>
      <c r="L31" s="92" t="s">
        <v>89</v>
      </c>
      <c r="M31" s="92"/>
      <c r="N31" s="92"/>
    </row>
    <row r="32" spans="1:13" ht="12.75">
      <c r="A32" t="s">
        <v>78</v>
      </c>
      <c r="B32" s="35">
        <f>+'Ready Reckoner'!B24</f>
        <v>0</v>
      </c>
      <c r="E32" t="s">
        <v>79</v>
      </c>
      <c r="H32" s="30">
        <f>+'Ready Reckoner'!C33</f>
        <v>0</v>
      </c>
      <c r="L32" s="27" t="e">
        <f>+'Ready Reckoner'!C35</f>
        <v>#N/A</v>
      </c>
      <c r="M32"/>
    </row>
    <row r="33" spans="1:13" ht="12.75">
      <c r="A33" t="s">
        <v>74</v>
      </c>
      <c r="B33">
        <f>+'Ready Reckoner'!C24</f>
        <v>0</v>
      </c>
      <c r="E33" t="s">
        <v>80</v>
      </c>
      <c r="H33" s="30">
        <f>IF($B$32="K",$B$33*10,0)</f>
        <v>0</v>
      </c>
      <c r="L33" s="30">
        <f>IF($B$32="K",$B$33*10,0)</f>
        <v>0</v>
      </c>
      <c r="M33"/>
    </row>
    <row r="34" spans="1:13" ht="12.75">
      <c r="A34" t="s">
        <v>76</v>
      </c>
      <c r="B34">
        <f>+'Ready Reckoner'!E24</f>
        <v>0</v>
      </c>
      <c r="E34" t="s">
        <v>86</v>
      </c>
      <c r="H34" s="30">
        <f>IF($B$32="K",0,IF($B$32="D0",0,IF($B$32="BR",0,IF($B$32="NT",0,((-$B$33*10)-5)))))</f>
        <v>-5</v>
      </c>
      <c r="L34" s="30">
        <f>IF($B$32="K",0,IF($B$32="D0",0,IF($B$32="BR",0,IF($B$32="NT",0,((-$B$33*10)-5)))))</f>
        <v>-5</v>
      </c>
      <c r="M34"/>
    </row>
    <row r="35" spans="5:13" ht="12.75">
      <c r="E35" t="s">
        <v>81</v>
      </c>
      <c r="H35" s="36">
        <f>SUM(H32:H34)</f>
        <v>-5</v>
      </c>
      <c r="L35" s="36" t="e">
        <f>SUM(L32:L34)</f>
        <v>#N/A</v>
      </c>
      <c r="M35"/>
    </row>
    <row r="36" spans="8:13" ht="12.75">
      <c r="H36" s="30"/>
      <c r="L36" s="30"/>
      <c r="M36"/>
    </row>
    <row r="37" spans="5:13" ht="12.75">
      <c r="E37" t="s">
        <v>82</v>
      </c>
      <c r="H37" s="30">
        <f>IF($B$32="D0",H35*0.4,0)</f>
        <v>0</v>
      </c>
      <c r="L37" s="30">
        <f>IF($B$32="D0",L35*0.4,0)</f>
        <v>0</v>
      </c>
      <c r="M37"/>
    </row>
    <row r="38" spans="5:12" ht="12.75">
      <c r="E38" t="s">
        <v>83</v>
      </c>
      <c r="H38" s="30">
        <f>IF($B$32="BR",H35*0.2,0)</f>
        <v>0</v>
      </c>
      <c r="L38" s="30">
        <f>IF($B$32="BR",L35*0.2,0)</f>
        <v>0</v>
      </c>
    </row>
    <row r="39" spans="5:13" ht="12.75">
      <c r="E39" t="s">
        <v>84</v>
      </c>
      <c r="F39" t="s">
        <v>72</v>
      </c>
      <c r="H39" s="30"/>
      <c r="I39" s="30">
        <f>IF($B$32="NT",0,IF(H37&gt;0,0,IF(H38&gt;0,0,IF(H35&lt;'Standing Data'!$D$4,H35*0.2,'Standing Data'!$D$4*0.2))))</f>
        <v>-1</v>
      </c>
      <c r="L39" s="30"/>
      <c r="M39" s="30" t="e">
        <f>IF($B$32="NT",0,IF(L37&gt;0,0,IF(L38&gt;0,0,IF(L35&lt;'Standing Data'!$D$4,L35*0.2,'Standing Data'!$D$4*0.2))))</f>
        <v>#N/A</v>
      </c>
    </row>
    <row r="40" spans="6:13" ht="12.75">
      <c r="F40" t="s">
        <v>85</v>
      </c>
      <c r="H40" s="30"/>
      <c r="I40" s="30">
        <f>IF($B$32="NT",0,G41*0.4)</f>
        <v>0</v>
      </c>
      <c r="L40" s="30"/>
      <c r="M40" s="30" t="e">
        <f>IF($B$32="NT",0,K41*0.4)</f>
        <v>#N/A</v>
      </c>
    </row>
    <row r="41" spans="7:14" ht="12.75">
      <c r="G41">
        <f>IF(H37&gt;0,0,IF(H38&gt;0,0,IF((H35-'Standing Data'!$D$4)&gt;0,H35-'Standing Data'!$D$4,0)))</f>
        <v>0</v>
      </c>
      <c r="H41" s="36">
        <f>SUM(H37:H39)</f>
        <v>0</v>
      </c>
      <c r="I41" s="36">
        <f>SUM(I39:I40)</f>
        <v>-1</v>
      </c>
      <c r="J41" s="27">
        <f>SUM(H41:I41)</f>
        <v>-1</v>
      </c>
      <c r="K41" t="e">
        <f>IF(L37&gt;0,0,IF(L38&gt;0,0,IF((L35-'Standing Data'!$D$4)&gt;0,L35-'Standing Data'!$D$4,0)))</f>
        <v>#N/A</v>
      </c>
      <c r="L41" s="36">
        <f>SUM(L37:L39)</f>
        <v>0</v>
      </c>
      <c r="M41" s="36" t="e">
        <f>SUM(M39:M40)</f>
        <v>#N/A</v>
      </c>
      <c r="N41" s="27" t="e">
        <f>SUM(L41:M41)</f>
        <v>#N/A</v>
      </c>
    </row>
    <row r="42" spans="6:13" ht="12.75">
      <c r="F42" s="27"/>
      <c r="H42" s="30"/>
      <c r="M42"/>
    </row>
    <row r="43" ht="12.75">
      <c r="M43"/>
    </row>
  </sheetData>
  <sheetProtection/>
  <mergeCells count="2">
    <mergeCell ref="H31:J31"/>
    <mergeCell ref="L31:N3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A2" sqref="A2:F2"/>
    </sheetView>
  </sheetViews>
  <sheetFormatPr defaultColWidth="9.140625" defaultRowHeight="12.75"/>
  <sheetData>
    <row r="1" spans="1:6" ht="20.25" customHeight="1">
      <c r="A1" s="97" t="s">
        <v>174</v>
      </c>
      <c r="B1" s="98"/>
      <c r="C1" s="98"/>
      <c r="D1" s="98"/>
      <c r="E1" s="98"/>
      <c r="F1" s="98"/>
    </row>
    <row r="2" spans="1:6" ht="12.75">
      <c r="A2" s="99"/>
      <c r="B2" s="100"/>
      <c r="C2" s="100"/>
      <c r="D2" s="100"/>
      <c r="E2" s="100"/>
      <c r="F2" s="100"/>
    </row>
    <row r="3" spans="1:6" ht="31.5" customHeight="1">
      <c r="A3" s="101" t="s">
        <v>158</v>
      </c>
      <c r="B3" s="102"/>
      <c r="C3" s="102"/>
      <c r="D3" s="102"/>
      <c r="E3" s="102"/>
      <c r="F3" s="102"/>
    </row>
    <row r="4" spans="1:6" ht="15" customHeight="1">
      <c r="A4" s="93" t="s">
        <v>159</v>
      </c>
      <c r="B4" s="94"/>
      <c r="C4" s="94"/>
      <c r="D4" s="94"/>
      <c r="E4" s="94"/>
      <c r="F4" s="94"/>
    </row>
    <row r="5" spans="1:6" ht="30" customHeight="1">
      <c r="A5" s="93" t="s">
        <v>160</v>
      </c>
      <c r="B5" s="94"/>
      <c r="C5" s="94"/>
      <c r="D5" s="94"/>
      <c r="E5" s="94"/>
      <c r="F5" s="94"/>
    </row>
    <row r="6" spans="1:6" ht="30" customHeight="1">
      <c r="A6" s="93" t="s">
        <v>161</v>
      </c>
      <c r="B6" s="94"/>
      <c r="C6" s="94"/>
      <c r="D6" s="94"/>
      <c r="E6" s="94"/>
      <c r="F6" s="94"/>
    </row>
    <row r="7" spans="1:6" ht="30" customHeight="1">
      <c r="A7" s="93" t="s">
        <v>162</v>
      </c>
      <c r="B7" s="94"/>
      <c r="C7" s="94"/>
      <c r="D7" s="94"/>
      <c r="E7" s="94"/>
      <c r="F7" s="94"/>
    </row>
    <row r="8" spans="1:6" ht="15" customHeight="1">
      <c r="A8" s="95" t="s">
        <v>163</v>
      </c>
      <c r="B8" s="96"/>
      <c r="C8" s="96"/>
      <c r="D8" s="96"/>
      <c r="E8" s="96"/>
      <c r="F8" s="96"/>
    </row>
    <row r="9" spans="1:6" ht="32.25" thickBot="1">
      <c r="A9" s="75"/>
      <c r="B9" s="76"/>
      <c r="C9" s="77" t="s">
        <v>73</v>
      </c>
      <c r="D9" s="77" t="s">
        <v>164</v>
      </c>
      <c r="E9" s="77" t="s">
        <v>75</v>
      </c>
      <c r="F9" s="77" t="s">
        <v>76</v>
      </c>
    </row>
    <row r="10" spans="1:6" ht="15">
      <c r="A10" s="80" t="s">
        <v>165</v>
      </c>
      <c r="B10" s="78" t="s">
        <v>166</v>
      </c>
      <c r="C10" s="78"/>
      <c r="D10" s="79">
        <v>627</v>
      </c>
      <c r="E10" s="79" t="s">
        <v>167</v>
      </c>
      <c r="F10" s="79">
        <v>0</v>
      </c>
    </row>
    <row r="11" spans="1:6" ht="15">
      <c r="A11" s="80" t="s">
        <v>168</v>
      </c>
      <c r="B11" s="78" t="s">
        <v>166</v>
      </c>
      <c r="C11" s="78"/>
      <c r="D11" s="79">
        <v>627</v>
      </c>
      <c r="E11" s="79" t="s">
        <v>167</v>
      </c>
      <c r="F11" s="79">
        <v>0</v>
      </c>
    </row>
    <row r="12" spans="1:6" ht="15">
      <c r="A12" s="80" t="s">
        <v>169</v>
      </c>
      <c r="B12" s="78" t="s">
        <v>166</v>
      </c>
      <c r="C12" s="78"/>
      <c r="D12" s="79">
        <v>627</v>
      </c>
      <c r="E12" s="79" t="s">
        <v>167</v>
      </c>
      <c r="F12" s="79">
        <v>1</v>
      </c>
    </row>
    <row r="13" spans="1:6" ht="15">
      <c r="A13" s="80" t="s">
        <v>72</v>
      </c>
      <c r="B13" s="78" t="s">
        <v>166</v>
      </c>
      <c r="C13" s="79" t="s">
        <v>72</v>
      </c>
      <c r="D13" s="78"/>
      <c r="E13" s="78"/>
      <c r="F13" s="78"/>
    </row>
    <row r="14" spans="1:6" ht="15">
      <c r="A14" s="80" t="s">
        <v>170</v>
      </c>
      <c r="B14" s="78" t="s">
        <v>166</v>
      </c>
      <c r="C14" s="79" t="s">
        <v>170</v>
      </c>
      <c r="D14" s="78"/>
      <c r="E14" s="78"/>
      <c r="F14" s="78"/>
    </row>
    <row r="15" spans="1:6" ht="15">
      <c r="A15" s="80" t="s">
        <v>171</v>
      </c>
      <c r="B15" s="78" t="s">
        <v>166</v>
      </c>
      <c r="C15" s="79" t="s">
        <v>171</v>
      </c>
      <c r="D15" s="78"/>
      <c r="E15" s="78"/>
      <c r="F15" s="78"/>
    </row>
    <row r="16" spans="1:6" ht="15.75" thickBot="1">
      <c r="A16" s="81" t="s">
        <v>172</v>
      </c>
      <c r="B16" s="82" t="s">
        <v>166</v>
      </c>
      <c r="C16" s="83" t="s">
        <v>173</v>
      </c>
      <c r="D16" s="83">
        <v>350</v>
      </c>
      <c r="E16" s="82"/>
      <c r="F16" s="82"/>
    </row>
  </sheetData>
  <sheetProtection/>
  <mergeCells count="8">
    <mergeCell ref="A7:F7"/>
    <mergeCell ref="A8:F8"/>
    <mergeCell ref="A1:F1"/>
    <mergeCell ref="A2:F2"/>
    <mergeCell ref="A3:F3"/>
    <mergeCell ref="A4:F4"/>
    <mergeCell ref="A5:F5"/>
    <mergeCell ref="A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Exeter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Woodcock</dc:creator>
  <cp:keywords/>
  <dc:description/>
  <cp:lastModifiedBy>elh203</cp:lastModifiedBy>
  <cp:lastPrinted>2010-04-13T11:17:36Z</cp:lastPrinted>
  <dcterms:created xsi:type="dcterms:W3CDTF">2009-02-16T11:37:07Z</dcterms:created>
  <dcterms:modified xsi:type="dcterms:W3CDTF">2011-11-09T15:41:36Z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