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ad.isadroot.ex.ac.uk\UOE\User\Desktop\"/>
    </mc:Choice>
  </mc:AlternateContent>
  <bookViews>
    <workbookView xWindow="120" yWindow="110" windowWidth="15180" windowHeight="8520"/>
  </bookViews>
  <sheets>
    <sheet name="Table" sheetId="8" r:id="rId1"/>
    <sheet name="Standing data" sheetId="2" r:id="rId2"/>
    <sheet name="Current to Proposed costs" sheetId="10" r:id="rId3"/>
  </sheets>
  <externalReferences>
    <externalReference r:id="rId4"/>
    <externalReference r:id="rId5"/>
  </externalReferences>
  <definedNames>
    <definedName name="holiday">[1]Calculations!#REF!</definedName>
    <definedName name="list1">[2]Workings!$A$3:$A$6</definedName>
    <definedName name="pension2">[1]Calculations!$A$1:$A$3</definedName>
    <definedName name="_xlnm.Print_Area" localSheetId="2">'Current to Proposed costs'!$A$1:$AE$37</definedName>
    <definedName name="_xlnm.Print_Area" localSheetId="1">'Standing data'!$A$1:$H$19</definedName>
    <definedName name="_xlnm.Print_Area" localSheetId="0">Table!$A$1:$Q$97</definedName>
  </definedNames>
  <calcPr calcId="162913"/>
</workbook>
</file>

<file path=xl/calcChain.xml><?xml version="1.0" encoding="utf-8"?>
<calcChain xmlns="http://schemas.openxmlformats.org/spreadsheetml/2006/main">
  <c r="T7" i="8" l="1"/>
  <c r="O29" i="10" l="1"/>
  <c r="W29" i="10"/>
  <c r="O76" i="8" l="1"/>
  <c r="O77" i="8"/>
  <c r="O78" i="8"/>
  <c r="O79" i="8"/>
  <c r="N76" i="8"/>
  <c r="P76" i="8" s="1"/>
  <c r="N77" i="8"/>
  <c r="N78" i="8"/>
  <c r="N79" i="8"/>
  <c r="K76" i="8"/>
  <c r="K77" i="8"/>
  <c r="K78" i="8"/>
  <c r="K79" i="8"/>
  <c r="J76" i="8"/>
  <c r="J77" i="8"/>
  <c r="J78" i="8"/>
  <c r="J79" i="8"/>
  <c r="I76" i="8"/>
  <c r="L76" i="8" s="1"/>
  <c r="I77" i="8"/>
  <c r="L77" i="8" s="1"/>
  <c r="I78" i="8"/>
  <c r="L78" i="8" s="1"/>
  <c r="I79" i="8"/>
  <c r="L79" i="8" s="1"/>
  <c r="P78" i="8" l="1"/>
  <c r="P77" i="8"/>
  <c r="P79" i="8"/>
  <c r="K94" i="8"/>
  <c r="K95" i="8"/>
  <c r="K96" i="8"/>
  <c r="K97" i="8"/>
  <c r="K93" i="8"/>
  <c r="K92" i="8"/>
  <c r="K91" i="8"/>
  <c r="K90" i="8"/>
  <c r="K89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70" i="8"/>
  <c r="O71" i="8"/>
  <c r="O72" i="8"/>
  <c r="O73" i="8"/>
  <c r="O74" i="8"/>
  <c r="O75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70" i="8"/>
  <c r="K71" i="8"/>
  <c r="K72" i="8"/>
  <c r="K73" i="8"/>
  <c r="K74" i="8"/>
  <c r="K75" i="8"/>
  <c r="N9" i="8" l="1"/>
  <c r="P9" i="8" s="1"/>
  <c r="J9" i="8" l="1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70" i="8"/>
  <c r="J71" i="8"/>
  <c r="J72" i="8"/>
  <c r="J73" i="8"/>
  <c r="J74" i="8"/>
  <c r="J75" i="8"/>
  <c r="J89" i="8"/>
  <c r="J90" i="8"/>
  <c r="J91" i="8"/>
  <c r="J92" i="8"/>
  <c r="J93" i="8"/>
  <c r="J94" i="8"/>
  <c r="H43" i="10" l="1"/>
  <c r="H44" i="10" l="1"/>
  <c r="W14" i="10"/>
  <c r="Z16" i="10" s="1"/>
  <c r="O14" i="10"/>
  <c r="O16" i="10" s="1"/>
  <c r="W64" i="10"/>
  <c r="Z65" i="10" s="1"/>
  <c r="O64" i="10"/>
  <c r="R65" i="10" s="1"/>
  <c r="W55" i="10"/>
  <c r="Z56" i="10" s="1"/>
  <c r="O55" i="10"/>
  <c r="R56" i="10" s="1"/>
  <c r="J95" i="8"/>
  <c r="J97" i="8"/>
  <c r="J96" i="8"/>
  <c r="Z23" i="10" l="1"/>
  <c r="R23" i="10"/>
  <c r="I92" i="8"/>
  <c r="L92" i="8" s="1"/>
  <c r="I40" i="8"/>
  <c r="L40" i="8" s="1"/>
  <c r="I60" i="8"/>
  <c r="L60" i="8" s="1"/>
  <c r="I17" i="8"/>
  <c r="L17" i="8" s="1"/>
  <c r="I29" i="8"/>
  <c r="L29" i="8" s="1"/>
  <c r="I41" i="8"/>
  <c r="L41" i="8" s="1"/>
  <c r="I49" i="8"/>
  <c r="L49" i="8" s="1"/>
  <c r="I65" i="8"/>
  <c r="L65" i="8" s="1"/>
  <c r="I54" i="8"/>
  <c r="L54" i="8" s="1"/>
  <c r="I62" i="8"/>
  <c r="L62" i="8" s="1"/>
  <c r="I10" i="8"/>
  <c r="L10" i="8" s="1"/>
  <c r="I93" i="8"/>
  <c r="L93" i="8" s="1"/>
  <c r="I21" i="8"/>
  <c r="L21" i="8" s="1"/>
  <c r="I37" i="8"/>
  <c r="L37" i="8" s="1"/>
  <c r="I53" i="8"/>
  <c r="L53" i="8" s="1"/>
  <c r="I13" i="8"/>
  <c r="L13" i="8" s="1"/>
  <c r="I70" i="8"/>
  <c r="L70" i="8" s="1"/>
  <c r="I90" i="8"/>
  <c r="L90" i="8" s="1"/>
  <c r="I94" i="8"/>
  <c r="L94" i="8" s="1"/>
  <c r="I89" i="8"/>
  <c r="L89" i="8" s="1"/>
  <c r="I18" i="8"/>
  <c r="L18" i="8" s="1"/>
  <c r="I22" i="8"/>
  <c r="L22" i="8" s="1"/>
  <c r="I26" i="8"/>
  <c r="L26" i="8" s="1"/>
  <c r="I30" i="8"/>
  <c r="L30" i="8" s="1"/>
  <c r="I34" i="8"/>
  <c r="L34" i="8" s="1"/>
  <c r="I38" i="8"/>
  <c r="L38" i="8" s="1"/>
  <c r="I42" i="8"/>
  <c r="L42" i="8" s="1"/>
  <c r="I46" i="8"/>
  <c r="L46" i="8" s="1"/>
  <c r="I58" i="8"/>
  <c r="L58" i="8" s="1"/>
  <c r="I74" i="8"/>
  <c r="L74" i="8" s="1"/>
  <c r="I91" i="8"/>
  <c r="L91" i="8" s="1"/>
  <c r="I95" i="8"/>
  <c r="L95" i="8" s="1"/>
  <c r="I15" i="8"/>
  <c r="L15" i="8" s="1"/>
  <c r="I19" i="8"/>
  <c r="L19" i="8" s="1"/>
  <c r="I23" i="8"/>
  <c r="L23" i="8" s="1"/>
  <c r="I27" i="8"/>
  <c r="L27" i="8" s="1"/>
  <c r="I31" i="8"/>
  <c r="L31" i="8" s="1"/>
  <c r="I35" i="8"/>
  <c r="L35" i="8" s="1"/>
  <c r="I39" i="8"/>
  <c r="L39" i="8" s="1"/>
  <c r="I43" i="8"/>
  <c r="L43" i="8" s="1"/>
  <c r="I47" i="8"/>
  <c r="L47" i="8" s="1"/>
  <c r="I51" i="8"/>
  <c r="L51" i="8" s="1"/>
  <c r="I55" i="8"/>
  <c r="L55" i="8" s="1"/>
  <c r="I59" i="8"/>
  <c r="L59" i="8" s="1"/>
  <c r="I63" i="8"/>
  <c r="L63" i="8" s="1"/>
  <c r="I71" i="8"/>
  <c r="L71" i="8" s="1"/>
  <c r="I75" i="8"/>
  <c r="L75" i="8" s="1"/>
  <c r="I11" i="8"/>
  <c r="L11" i="8" s="1"/>
  <c r="I9" i="8"/>
  <c r="L9" i="8" s="1"/>
  <c r="I96" i="8"/>
  <c r="L96" i="8" s="1"/>
  <c r="I16" i="8"/>
  <c r="L16" i="8" s="1"/>
  <c r="I20" i="8"/>
  <c r="L20" i="8" s="1"/>
  <c r="I24" i="8"/>
  <c r="L24" i="8" s="1"/>
  <c r="I28" i="8"/>
  <c r="L28" i="8" s="1"/>
  <c r="I32" i="8"/>
  <c r="L32" i="8" s="1"/>
  <c r="I36" i="8"/>
  <c r="L36" i="8" s="1"/>
  <c r="I44" i="8"/>
  <c r="L44" i="8" s="1"/>
  <c r="I48" i="8"/>
  <c r="L48" i="8" s="1"/>
  <c r="I52" i="8"/>
  <c r="L52" i="8" s="1"/>
  <c r="I56" i="8"/>
  <c r="L56" i="8" s="1"/>
  <c r="I64" i="8"/>
  <c r="L64" i="8" s="1"/>
  <c r="I72" i="8"/>
  <c r="L72" i="8" s="1"/>
  <c r="I12" i="8"/>
  <c r="L12" i="8" s="1"/>
  <c r="I97" i="8"/>
  <c r="L97" i="8" s="1"/>
  <c r="I25" i="8"/>
  <c r="L25" i="8" s="1"/>
  <c r="I33" i="8"/>
  <c r="L33" i="8" s="1"/>
  <c r="I45" i="8"/>
  <c r="L45" i="8" s="1"/>
  <c r="I57" i="8"/>
  <c r="L57" i="8" s="1"/>
  <c r="I61" i="8"/>
  <c r="L61" i="8" s="1"/>
  <c r="I73" i="8"/>
  <c r="L73" i="8" s="1"/>
  <c r="I50" i="8"/>
  <c r="L50" i="8" s="1"/>
  <c r="I66" i="8"/>
  <c r="L66" i="8" s="1"/>
  <c r="I14" i="8"/>
  <c r="L14" i="8" s="1"/>
  <c r="N10" i="8"/>
  <c r="P10" i="8" s="1"/>
  <c r="N14" i="8"/>
  <c r="P14" i="8" s="1"/>
  <c r="N18" i="8"/>
  <c r="P18" i="8" s="1"/>
  <c r="N22" i="8"/>
  <c r="P22" i="8" s="1"/>
  <c r="N25" i="8"/>
  <c r="P25" i="8" s="1"/>
  <c r="N27" i="8"/>
  <c r="P27" i="8" s="1"/>
  <c r="N29" i="8"/>
  <c r="P29" i="8" s="1"/>
  <c r="N31" i="8"/>
  <c r="P31" i="8" s="1"/>
  <c r="N33" i="8"/>
  <c r="P33" i="8" s="1"/>
  <c r="N35" i="8"/>
  <c r="P35" i="8" s="1"/>
  <c r="N37" i="8"/>
  <c r="P37" i="8" s="1"/>
  <c r="N39" i="8"/>
  <c r="P39" i="8" s="1"/>
  <c r="N41" i="8"/>
  <c r="P41" i="8" s="1"/>
  <c r="N43" i="8"/>
  <c r="P43" i="8" s="1"/>
  <c r="N45" i="8"/>
  <c r="P45" i="8" s="1"/>
  <c r="N47" i="8"/>
  <c r="P47" i="8" s="1"/>
  <c r="N49" i="8"/>
  <c r="P49" i="8" s="1"/>
  <c r="N51" i="8"/>
  <c r="P51" i="8" s="1"/>
  <c r="N53" i="8"/>
  <c r="P53" i="8" s="1"/>
  <c r="N55" i="8"/>
  <c r="P55" i="8" s="1"/>
  <c r="N57" i="8"/>
  <c r="P57" i="8" s="1"/>
  <c r="N59" i="8"/>
  <c r="P59" i="8" s="1"/>
  <c r="N63" i="8"/>
  <c r="P63" i="8" s="1"/>
  <c r="N11" i="8"/>
  <c r="P11" i="8" s="1"/>
  <c r="N15" i="8"/>
  <c r="P15" i="8" s="1"/>
  <c r="N19" i="8"/>
  <c r="P19" i="8" s="1"/>
  <c r="N23" i="8"/>
  <c r="P23" i="8" s="1"/>
  <c r="N65" i="8"/>
  <c r="P65" i="8" s="1"/>
  <c r="N75" i="8"/>
  <c r="P75" i="8" s="1"/>
  <c r="N12" i="8"/>
  <c r="P12" i="8" s="1"/>
  <c r="N16" i="8"/>
  <c r="P16" i="8" s="1"/>
  <c r="N20" i="8"/>
  <c r="P20" i="8" s="1"/>
  <c r="N24" i="8"/>
  <c r="P24" i="8" s="1"/>
  <c r="N26" i="8"/>
  <c r="P26" i="8" s="1"/>
  <c r="N28" i="8"/>
  <c r="P28" i="8" s="1"/>
  <c r="N30" i="8"/>
  <c r="P30" i="8" s="1"/>
  <c r="N32" i="8"/>
  <c r="P32" i="8" s="1"/>
  <c r="N34" i="8"/>
  <c r="P34" i="8" s="1"/>
  <c r="N36" i="8"/>
  <c r="P36" i="8" s="1"/>
  <c r="N38" i="8"/>
  <c r="P38" i="8" s="1"/>
  <c r="N40" i="8"/>
  <c r="P40" i="8" s="1"/>
  <c r="N42" i="8"/>
  <c r="P42" i="8" s="1"/>
  <c r="N44" i="8"/>
  <c r="P44" i="8" s="1"/>
  <c r="N46" i="8"/>
  <c r="P46" i="8" s="1"/>
  <c r="N48" i="8"/>
  <c r="P48" i="8" s="1"/>
  <c r="N50" i="8"/>
  <c r="P50" i="8" s="1"/>
  <c r="N52" i="8"/>
  <c r="P52" i="8" s="1"/>
  <c r="N54" i="8"/>
  <c r="P54" i="8" s="1"/>
  <c r="N56" i="8"/>
  <c r="P56" i="8" s="1"/>
  <c r="N58" i="8"/>
  <c r="P58" i="8" s="1"/>
  <c r="N71" i="8"/>
  <c r="P71" i="8" s="1"/>
  <c r="N13" i="8"/>
  <c r="P13" i="8" s="1"/>
  <c r="N17" i="8"/>
  <c r="P17" i="8" s="1"/>
  <c r="N21" i="8"/>
  <c r="P21" i="8" s="1"/>
  <c r="N60" i="8"/>
  <c r="P60" i="8" s="1"/>
  <c r="N62" i="8"/>
  <c r="P62" i="8" s="1"/>
  <c r="N64" i="8"/>
  <c r="P64" i="8" s="1"/>
  <c r="N66" i="8"/>
  <c r="P66" i="8" s="1"/>
  <c r="N70" i="8"/>
  <c r="P70" i="8" s="1"/>
  <c r="N72" i="8"/>
  <c r="P72" i="8" s="1"/>
  <c r="N74" i="8"/>
  <c r="P74" i="8" s="1"/>
  <c r="N61" i="8"/>
  <c r="P61" i="8" s="1"/>
  <c r="N73" i="8"/>
  <c r="P73" i="8" s="1"/>
  <c r="W16" i="10"/>
  <c r="Z17" i="10" s="1"/>
  <c r="Z18" i="10" s="1"/>
  <c r="Z20" i="10" s="1"/>
  <c r="R46" i="10"/>
  <c r="Z46" i="10"/>
  <c r="R16" i="10"/>
  <c r="R17" i="10" s="1"/>
  <c r="R18" i="10" s="1"/>
  <c r="Z30" i="10" l="1"/>
  <c r="Z29" i="10"/>
  <c r="Z22" i="10"/>
  <c r="Z25" i="10" s="1"/>
  <c r="Z27" i="10" s="1"/>
  <c r="Z28" i="10" s="1"/>
  <c r="R20" i="10"/>
  <c r="R30" i="10" l="1"/>
  <c r="R29" i="10"/>
  <c r="R22" i="10"/>
  <c r="Z31" i="10"/>
  <c r="R25" i="10" l="1"/>
  <c r="R27" i="10" l="1"/>
  <c r="R28" i="10" s="1"/>
  <c r="R31" i="10" l="1"/>
  <c r="Z35" i="10" l="1"/>
  <c r="O35" i="10"/>
</calcChain>
</file>

<file path=xl/sharedStrings.xml><?xml version="1.0" encoding="utf-8"?>
<sst xmlns="http://schemas.openxmlformats.org/spreadsheetml/2006/main" count="234" uniqueCount="127">
  <si>
    <t>Spine Point</t>
  </si>
  <si>
    <t>*</t>
  </si>
  <si>
    <t>D</t>
  </si>
  <si>
    <t>C</t>
  </si>
  <si>
    <t>B</t>
  </si>
  <si>
    <t>H</t>
  </si>
  <si>
    <t>E</t>
  </si>
  <si>
    <t>F</t>
  </si>
  <si>
    <t>G</t>
  </si>
  <si>
    <t>Salaries as at:</t>
  </si>
  <si>
    <t>NI Data Used as at:</t>
  </si>
  <si>
    <t>Per Week</t>
  </si>
  <si>
    <t>Per Annum</t>
  </si>
  <si>
    <t>Lower Earnings Limit</t>
  </si>
  <si>
    <t>Upper Earnings Limit</t>
  </si>
  <si>
    <t>Not In Pension Scheme</t>
  </si>
  <si>
    <t xml:space="preserve">NI  </t>
  </si>
  <si>
    <t xml:space="preserve">Total  </t>
  </si>
  <si>
    <t>New staff in Grade E will join USS.</t>
  </si>
  <si>
    <t>= incremental points</t>
  </si>
  <si>
    <t>= contribution points</t>
  </si>
  <si>
    <t>* locally amended/determined points</t>
  </si>
  <si>
    <t>USS ER contribution</t>
  </si>
  <si>
    <t>USS</t>
  </si>
  <si>
    <t>ERBS</t>
  </si>
  <si>
    <t>FTE</t>
  </si>
  <si>
    <t>Total cost</t>
  </si>
  <si>
    <t>Employer's NIC</t>
  </si>
  <si>
    <t>Employer's Pension Contribution</t>
  </si>
  <si>
    <t>Please choose:</t>
  </si>
  <si>
    <t>In Pension Scheme (not PSX)</t>
  </si>
  <si>
    <t>Pension Scheme</t>
  </si>
  <si>
    <t>Employer pension contribution</t>
  </si>
  <si>
    <t xml:space="preserve">It should be noted that the above tables have been prepared on the assumption that Grade E staff within a pension scheme are members of USS. </t>
  </si>
  <si>
    <t>Per month</t>
  </si>
  <si>
    <t>Secondary Earnings Threshold</t>
  </si>
  <si>
    <t>Rate for earnings above UAP</t>
  </si>
  <si>
    <t>Employer NIC =</t>
  </si>
  <si>
    <t>(Salary - Secondary Earnings Threshold) * 13.8%</t>
  </si>
  <si>
    <t>Notes</t>
  </si>
  <si>
    <t>http://nicecalculator.hmrc.gov.uk/Class1NICs1.aspx</t>
  </si>
  <si>
    <t>Employer NIC</t>
  </si>
  <si>
    <t>Note: this table will give the oncost figure for a full-time whole year appointment only.</t>
  </si>
  <si>
    <t>Current costs:</t>
  </si>
  <si>
    <t>Proposed costs:</t>
  </si>
  <si>
    <t>Input full time annual salary</t>
  </si>
  <si>
    <t xml:space="preserve">Choose pension scheme </t>
  </si>
  <si>
    <t>Hours</t>
  </si>
  <si>
    <t>Weeks</t>
  </si>
  <si>
    <t>Holiday %</t>
  </si>
  <si>
    <t>Pro rata salary:</t>
  </si>
  <si>
    <t>Pensionable allowances:</t>
  </si>
  <si>
    <t>Name:</t>
  </si>
  <si>
    <t>Shift Alllowance</t>
  </si>
  <si>
    <t>Payment:</t>
  </si>
  <si>
    <t>11% of point 3, pro rata for part-time staff</t>
  </si>
  <si>
    <t>per annum</t>
  </si>
  <si>
    <t>11%:</t>
  </si>
  <si>
    <t>Costs for posts using FTE shown above:</t>
  </si>
  <si>
    <t>Split Shift Allowance</t>
  </si>
  <si>
    <t>12p per hour per day on split</t>
  </si>
  <si>
    <t>Rate:</t>
  </si>
  <si>
    <t>Number of hours per week on split</t>
  </si>
  <si>
    <t>per week</t>
  </si>
  <si>
    <t>Number of weeks</t>
  </si>
  <si>
    <t>weeks</t>
  </si>
  <si>
    <t>total hours</t>
  </si>
  <si>
    <t>Costs for posts:</t>
  </si>
  <si>
    <t>Night Allowance</t>
  </si>
  <si>
    <t>1/3 of salary for hours worked between 10pm-6am</t>
  </si>
  <si>
    <t>Number of hours worked between 10-6</t>
  </si>
  <si>
    <t>Pensionable allowances, per annum (see notes below):</t>
  </si>
  <si>
    <t>Total pro rata pensionable salary:</t>
  </si>
  <si>
    <t>Effect of proposal:</t>
  </si>
  <si>
    <t>Insert figures into the blue cells as appropriate</t>
  </si>
  <si>
    <t>For the latest rates see HMRC web:</t>
  </si>
  <si>
    <t>http://www.hmrc.gov.uk/rates/nic.htm</t>
  </si>
  <si>
    <t>Check calculations in the s/sheet at:</t>
  </si>
  <si>
    <t>Salary</t>
  </si>
  <si>
    <t>managers in Campus Services should continue to use both columns.</t>
  </si>
  <si>
    <t xml:space="preserve">To estimate the costs for your proposal use the "Proposed costs" columns, </t>
  </si>
  <si>
    <t>Salary Costs Ready Reckoner</t>
  </si>
  <si>
    <t>Not in</t>
  </si>
  <si>
    <t>These columns to be hidden</t>
  </si>
  <si>
    <t xml:space="preserve">appointment of less than 12 months, you should use the HMRC online </t>
  </si>
  <si>
    <r>
      <rPr>
        <sz val="10"/>
        <rFont val="Arial"/>
        <family val="2"/>
      </rPr>
      <t xml:space="preserve">calculator at </t>
    </r>
    <r>
      <rPr>
        <u/>
        <sz val="10"/>
        <color rgb="FFFF0000"/>
        <rFont val="Arial"/>
        <family val="2"/>
      </rPr>
      <t>http://nicecalculator.hmrc.gov.uk/Class1NICs1.aspx</t>
    </r>
  </si>
  <si>
    <t xml:space="preserve">(select period of pay = monthly; enter monthly gross salary; select NI </t>
  </si>
  <si>
    <t>Category = D for members of ERBS or USS).</t>
  </si>
  <si>
    <t xml:space="preserve">* This calculator will give the figure for a whole year appointment. For an </t>
  </si>
  <si>
    <t>* This calculator does not take account of employer NIC savings arising</t>
  </si>
  <si>
    <t xml:space="preserve"> from Pension Salary Exchange (as the employee may opt-out of PSX).</t>
  </si>
  <si>
    <t xml:space="preserve">* This calculator does not take account of any increments which the </t>
  </si>
  <si>
    <t>employee may be entitled to on 1 August.</t>
  </si>
  <si>
    <t xml:space="preserve">* For a forecast which includes increments over a longer period, use the </t>
  </si>
  <si>
    <t>Cognos BI tool or e-SR1.</t>
  </si>
  <si>
    <r>
      <rPr>
        <b/>
        <sz val="10"/>
        <rFont val="Arial"/>
        <family val="2"/>
      </rPr>
      <t>If term-time</t>
    </r>
    <r>
      <rPr>
        <sz val="10"/>
        <rFont val="Arial"/>
        <family val="2"/>
      </rPr>
      <t>:</t>
    </r>
  </si>
  <si>
    <r>
      <rPr>
        <b/>
        <sz val="10"/>
        <rFont val="Arial"/>
        <family val="2"/>
      </rPr>
      <t>If NOT term-time</t>
    </r>
    <r>
      <rPr>
        <sz val="10"/>
        <rFont val="Arial"/>
        <family val="2"/>
      </rPr>
      <t>, input hours:</t>
    </r>
  </si>
  <si>
    <r>
      <t xml:space="preserve">FTE </t>
    </r>
    <r>
      <rPr>
        <b/>
        <sz val="10"/>
        <rFont val="Arial"/>
        <family val="2"/>
      </rPr>
      <t>(HIDE THIS LINE)</t>
    </r>
  </si>
  <si>
    <t>JNCHES Point 3</t>
  </si>
  <si>
    <t>JNCHES point 3:</t>
  </si>
  <si>
    <t>Formula for 2016/2017</t>
  </si>
  <si>
    <t>Secondary Earning Threshold</t>
  </si>
  <si>
    <t>Niable pay</t>
  </si>
  <si>
    <t>NI</t>
  </si>
  <si>
    <t>ERSS ER contribution</t>
  </si>
  <si>
    <t>ERSS</t>
  </si>
  <si>
    <t>(Although new staff in Grade E will join USS some existing staff in Grade E elected to remain members of ERSS when the Framework Agreement was introduced.)</t>
  </si>
  <si>
    <t>The following table re-calculates for those in Grade E on the assumption that the staff are members of ERSS.</t>
  </si>
  <si>
    <t>Apprenticeship Levy</t>
  </si>
  <si>
    <t>2019/20</t>
  </si>
  <si>
    <t>2019-20</t>
  </si>
  <si>
    <t>L10</t>
  </si>
  <si>
    <t>L9</t>
  </si>
  <si>
    <t>L8</t>
  </si>
  <si>
    <t>L7</t>
  </si>
  <si>
    <t>L6</t>
  </si>
  <si>
    <t>L5</t>
  </si>
  <si>
    <t>L4</t>
  </si>
  <si>
    <t>L3</t>
  </si>
  <si>
    <t>L2</t>
  </si>
  <si>
    <t>L1</t>
  </si>
  <si>
    <t>UNIVERSITY OF EXETER PAY SCALES, 2019-2020</t>
  </si>
  <si>
    <t>Pension Scheme employer contribution rates - USS 21.1%, ERSS 22.5%</t>
  </si>
  <si>
    <t>Salary from 1 Nov 2019</t>
  </si>
  <si>
    <t>NI Limits 2020/21:</t>
  </si>
  <si>
    <t>NI rates effective from April 2020</t>
  </si>
  <si>
    <t>Pay rates effective from 1 Aug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</si>
</sst>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\-#,##0\ "/>
    <numFmt numFmtId="167" formatCode="&quot;£&quot;#,##0.00"/>
    <numFmt numFmtId="168" formatCode="&quot;£&quot;#,##0"/>
    <numFmt numFmtId="169" formatCode="0.000000"/>
    <numFmt numFmtId="170" formatCode="_-&quot;£&quot;* #,##0_-;\-&quot;£&quot;* #,##0_-;_-&quot;£&quot;* &quot;-&quot;??_-;_-@_-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/>
      <sz val="9"/>
      <color theme="10"/>
      <name val="Arial"/>
      <family val="2"/>
    </font>
    <font>
      <u/>
      <sz val="10"/>
      <color rgb="FFFF0000"/>
      <name val="Arial"/>
      <family val="2"/>
    </font>
    <font>
      <b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236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7" fillId="0" borderId="0" xfId="0" applyFont="1"/>
    <xf numFmtId="0" fontId="4" fillId="2" borderId="0" xfId="0" applyFont="1" applyFill="1" applyAlignment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/>
    <xf numFmtId="0" fontId="4" fillId="2" borderId="1" xfId="0" applyFont="1" applyFill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textRotation="180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/>
    <xf numFmtId="165" fontId="2" fillId="0" borderId="1" xfId="1" applyNumberFormat="1" applyFont="1" applyBorder="1" applyAlignment="1">
      <alignment horizontal="center" wrapText="1"/>
    </xf>
    <xf numFmtId="165" fontId="2" fillId="0" borderId="2" xfId="1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Border="1"/>
    <xf numFmtId="3" fontId="2" fillId="0" borderId="0" xfId="0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0" fontId="10" fillId="0" borderId="0" xfId="0" applyFont="1"/>
    <xf numFmtId="15" fontId="2" fillId="0" borderId="0" xfId="0" applyNumberFormat="1" applyFont="1"/>
    <xf numFmtId="164" fontId="2" fillId="0" borderId="0" xfId="0" applyNumberFormat="1" applyFont="1"/>
    <xf numFmtId="15" fontId="2" fillId="0" borderId="0" xfId="0" quotePrefix="1" applyNumberFormat="1" applyFont="1"/>
    <xf numFmtId="0" fontId="2" fillId="0" borderId="1" xfId="0" applyFont="1" applyFill="1" applyBorder="1"/>
    <xf numFmtId="0" fontId="2" fillId="0" borderId="0" xfId="0" quotePrefix="1" applyFont="1"/>
    <xf numFmtId="49" fontId="11" fillId="0" borderId="0" xfId="0" applyNumberFormat="1" applyFont="1" applyAlignment="1"/>
    <xf numFmtId="0" fontId="6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9" fontId="2" fillId="0" borderId="0" xfId="0" applyNumberFormat="1" applyFont="1"/>
    <xf numFmtId="0" fontId="0" fillId="0" borderId="0" xfId="0" applyFill="1"/>
    <xf numFmtId="9" fontId="2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/>
    <xf numFmtId="0" fontId="0" fillId="0" borderId="0" xfId="0" applyFill="1" applyBorder="1" applyAlignment="1">
      <alignment horizontal="right"/>
    </xf>
    <xf numFmtId="166" fontId="0" fillId="0" borderId="1" xfId="2" applyNumberFormat="1" applyFont="1" applyFill="1" applyBorder="1"/>
    <xf numFmtId="165" fontId="2" fillId="0" borderId="1" xfId="1" applyNumberFormat="1" applyFont="1" applyFill="1" applyBorder="1" applyAlignment="1">
      <alignment horizontal="center" wrapText="1"/>
    </xf>
    <xf numFmtId="165" fontId="2" fillId="0" borderId="0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4" fontId="2" fillId="3" borderId="1" xfId="4" applyNumberFormat="1" applyFont="1" applyFill="1" applyBorder="1"/>
    <xf numFmtId="164" fontId="2" fillId="3" borderId="1" xfId="0" applyNumberFormat="1" applyFont="1" applyFill="1" applyBorder="1"/>
    <xf numFmtId="15" fontId="2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49" fontId="2" fillId="0" borderId="0" xfId="0" applyNumberFormat="1" applyFont="1" applyFill="1" applyBorder="1" applyAlignment="1">
      <alignment horizontal="left" wrapText="1"/>
    </xf>
    <xf numFmtId="0" fontId="0" fillId="0" borderId="0" xfId="0" applyAlignment="1"/>
    <xf numFmtId="0" fontId="0" fillId="0" borderId="0" xfId="0" applyFill="1" applyBorder="1"/>
    <xf numFmtId="0" fontId="3" fillId="0" borderId="0" xfId="0" applyFont="1" applyFill="1" applyBorder="1"/>
    <xf numFmtId="0" fontId="1" fillId="0" borderId="0" xfId="0" applyFont="1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4" xfId="0" applyFill="1" applyBorder="1"/>
    <xf numFmtId="0" fontId="0" fillId="0" borderId="11" xfId="0" applyFill="1" applyBorder="1"/>
    <xf numFmtId="0" fontId="0" fillId="0" borderId="18" xfId="0" applyFill="1" applyBorder="1"/>
    <xf numFmtId="0" fontId="3" fillId="0" borderId="18" xfId="0" applyFont="1" applyFill="1" applyBorder="1"/>
    <xf numFmtId="0" fontId="0" fillId="0" borderId="19" xfId="0" applyFill="1" applyBorder="1"/>
    <xf numFmtId="0" fontId="0" fillId="0" borderId="21" xfId="0" applyFill="1" applyBorder="1"/>
    <xf numFmtId="0" fontId="1" fillId="0" borderId="21" xfId="0" applyFont="1" applyFill="1" applyBorder="1"/>
    <xf numFmtId="0" fontId="0" fillId="0" borderId="3" xfId="0" applyFill="1" applyBorder="1"/>
    <xf numFmtId="0" fontId="0" fillId="0" borderId="20" xfId="0" applyFill="1" applyBorder="1"/>
    <xf numFmtId="0" fontId="1" fillId="0" borderId="0" xfId="0" applyFont="1" applyFill="1" applyBorder="1" applyAlignment="1"/>
    <xf numFmtId="168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0" fillId="7" borderId="0" xfId="0" applyFill="1" applyBorder="1"/>
    <xf numFmtId="0" fontId="0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0" fillId="0" borderId="12" xfId="0" applyBorder="1"/>
    <xf numFmtId="0" fontId="1" fillId="0" borderId="18" xfId="0" applyFont="1" applyFill="1" applyBorder="1"/>
    <xf numFmtId="0" fontId="0" fillId="0" borderId="13" xfId="0" applyBorder="1"/>
    <xf numFmtId="0" fontId="0" fillId="0" borderId="14" xfId="0" applyBorder="1"/>
    <xf numFmtId="0" fontId="1" fillId="0" borderId="3" xfId="0" applyFont="1" applyFill="1" applyBorder="1"/>
    <xf numFmtId="0" fontId="11" fillId="0" borderId="0" xfId="0" applyFont="1" applyFill="1" applyBorder="1"/>
    <xf numFmtId="0" fontId="1" fillId="0" borderId="0" xfId="0" applyFont="1"/>
    <xf numFmtId="0" fontId="1" fillId="0" borderId="0" xfId="0" applyFont="1" applyFill="1"/>
    <xf numFmtId="0" fontId="14" fillId="0" borderId="0" xfId="3" applyAlignment="1" applyProtection="1"/>
    <xf numFmtId="168" fontId="2" fillId="0" borderId="0" xfId="0" applyNumberFormat="1" applyFont="1"/>
    <xf numFmtId="168" fontId="2" fillId="3" borderId="1" xfId="1" applyNumberFormat="1" applyFont="1" applyFill="1" applyBorder="1" applyProtection="1"/>
    <xf numFmtId="0" fontId="12" fillId="0" borderId="0" xfId="0" applyFont="1" applyFill="1" applyBorder="1"/>
    <xf numFmtId="0" fontId="1" fillId="7" borderId="0" xfId="0" applyFont="1" applyFill="1"/>
    <xf numFmtId="0" fontId="0" fillId="7" borderId="0" xfId="0" applyFill="1"/>
    <xf numFmtId="0" fontId="6" fillId="7" borderId="0" xfId="0" applyFont="1" applyFill="1"/>
    <xf numFmtId="0" fontId="6" fillId="0" borderId="12" xfId="0" applyFont="1" applyBorder="1"/>
    <xf numFmtId="0" fontId="0" fillId="0" borderId="18" xfId="0" applyBorder="1"/>
    <xf numFmtId="0" fontId="0" fillId="0" borderId="19" xfId="0" applyBorder="1"/>
    <xf numFmtId="0" fontId="1" fillId="4" borderId="13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0" fillId="0" borderId="21" xfId="0" applyBorder="1"/>
    <xf numFmtId="0" fontId="1" fillId="0" borderId="13" xfId="0" applyFont="1" applyBorder="1"/>
    <xf numFmtId="0" fontId="15" fillId="4" borderId="13" xfId="3" applyFont="1" applyFill="1" applyBorder="1" applyAlignment="1" applyProtection="1">
      <alignment horizontal="left"/>
    </xf>
    <xf numFmtId="0" fontId="1" fillId="4" borderId="13" xfId="3" applyFont="1" applyFill="1" applyBorder="1" applyAlignment="1" applyProtection="1">
      <alignment horizontal="left"/>
    </xf>
    <xf numFmtId="0" fontId="0" fillId="0" borderId="13" xfId="0" applyFill="1" applyBorder="1"/>
    <xf numFmtId="0" fontId="0" fillId="8" borderId="0" xfId="0" applyFill="1" applyBorder="1"/>
    <xf numFmtId="0" fontId="0" fillId="8" borderId="0" xfId="0" applyFill="1" applyBorder="1" applyAlignment="1">
      <alignment horizontal="left"/>
    </xf>
    <xf numFmtId="0" fontId="3" fillId="8" borderId="0" xfId="0" applyFont="1" applyFill="1" applyBorder="1"/>
    <xf numFmtId="0" fontId="0" fillId="8" borderId="0" xfId="0" applyFill="1" applyBorder="1" applyAlignment="1"/>
    <xf numFmtId="0" fontId="0" fillId="0" borderId="0" xfId="0" applyFill="1" applyBorder="1" applyAlignment="1">
      <alignment horizontal="center"/>
    </xf>
    <xf numFmtId="169" fontId="0" fillId="0" borderId="0" xfId="0" applyNumberFormat="1" applyFill="1" applyBorder="1"/>
    <xf numFmtId="0" fontId="0" fillId="9" borderId="0" xfId="0" applyFill="1" applyBorder="1"/>
    <xf numFmtId="0" fontId="1" fillId="9" borderId="0" xfId="0" applyFont="1" applyFill="1" applyBorder="1"/>
    <xf numFmtId="169" fontId="0" fillId="9" borderId="0" xfId="0" applyNumberFormat="1" applyFill="1" applyBorder="1"/>
    <xf numFmtId="0" fontId="0" fillId="9" borderId="0" xfId="0" applyFill="1"/>
    <xf numFmtId="0" fontId="3" fillId="0" borderId="0" xfId="0" applyFont="1" applyFill="1"/>
    <xf numFmtId="0" fontId="2" fillId="9" borderId="1" xfId="0" applyFont="1" applyFill="1" applyBorder="1"/>
    <xf numFmtId="0" fontId="1" fillId="0" borderId="0" xfId="0" quotePrefix="1" applyFont="1"/>
    <xf numFmtId="0" fontId="16" fillId="0" borderId="0" xfId="0" applyFont="1" applyFill="1"/>
    <xf numFmtId="165" fontId="1" fillId="0" borderId="0" xfId="1" applyNumberFormat="1" applyFont="1" applyBorder="1" applyAlignment="1">
      <alignment horizontal="center" wrapText="1"/>
    </xf>
    <xf numFmtId="49" fontId="1" fillId="0" borderId="0" xfId="0" applyNumberFormat="1" applyFont="1" applyFill="1" applyBorder="1" applyAlignment="1"/>
    <xf numFmtId="170" fontId="1" fillId="0" borderId="1" xfId="2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164" fontId="2" fillId="9" borderId="1" xfId="0" applyNumberFormat="1" applyFont="1" applyFill="1" applyBorder="1"/>
    <xf numFmtId="0" fontId="1" fillId="10" borderId="17" xfId="0" applyFont="1" applyFill="1" applyBorder="1"/>
    <xf numFmtId="0" fontId="1" fillId="10" borderId="1" xfId="0" applyFont="1" applyFill="1" applyBorder="1"/>
    <xf numFmtId="0" fontId="4" fillId="10" borderId="1" xfId="0" applyFont="1" applyFill="1" applyBorder="1" applyAlignment="1"/>
    <xf numFmtId="0" fontId="4" fillId="10" borderId="1" xfId="0" applyFont="1" applyFill="1" applyBorder="1" applyAlignment="1">
      <alignment horizontal="center" vertical="center" textRotation="180" wrapText="1"/>
    </xf>
    <xf numFmtId="0" fontId="4" fillId="1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1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Alignment="1"/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center" wrapText="1"/>
    </xf>
    <xf numFmtId="170" fontId="1" fillId="0" borderId="0" xfId="2" applyNumberFormat="1" applyFont="1" applyFill="1" applyBorder="1"/>
    <xf numFmtId="166" fontId="0" fillId="0" borderId="0" xfId="2" applyNumberFormat="1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5" borderId="0" xfId="0" applyFont="1" applyFill="1" applyAlignment="1">
      <alignment horizontal="left" vertical="distributed" wrapText="1"/>
    </xf>
    <xf numFmtId="49" fontId="1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0" fontId="0" fillId="0" borderId="15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4" fontId="3" fillId="0" borderId="12" xfId="2" applyFont="1" applyFill="1" applyBorder="1" applyAlignment="1">
      <alignment horizontal="center"/>
    </xf>
    <xf numFmtId="44" fontId="3" fillId="0" borderId="18" xfId="2" applyFont="1" applyFill="1" applyBorder="1" applyAlignment="1">
      <alignment horizontal="center"/>
    </xf>
    <xf numFmtId="44" fontId="3" fillId="0" borderId="19" xfId="2" applyFont="1" applyFill="1" applyBorder="1" applyAlignment="1">
      <alignment horizontal="center"/>
    </xf>
    <xf numFmtId="44" fontId="0" fillId="8" borderId="1" xfId="2" applyFont="1" applyFill="1" applyBorder="1" applyAlignment="1">
      <alignment horizontal="center"/>
    </xf>
    <xf numFmtId="44" fontId="3" fillId="0" borderId="1" xfId="2" applyFont="1" applyFill="1" applyBorder="1" applyAlignment="1" applyProtection="1">
      <alignment horizontal="center"/>
      <protection locked="0"/>
    </xf>
    <xf numFmtId="44" fontId="3" fillId="0" borderId="1" xfId="2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4" fontId="0" fillId="8" borderId="15" xfId="2" applyFont="1" applyFill="1" applyBorder="1" applyAlignment="1">
      <alignment horizontal="center"/>
    </xf>
    <xf numFmtId="44" fontId="0" fillId="8" borderId="16" xfId="2" applyFont="1" applyFill="1" applyBorder="1" applyAlignment="1">
      <alignment horizontal="center"/>
    </xf>
    <xf numFmtId="44" fontId="0" fillId="8" borderId="17" xfId="2" applyFon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44" fontId="3" fillId="0" borderId="22" xfId="2" applyFont="1" applyFill="1" applyBorder="1" applyAlignment="1">
      <alignment horizontal="center"/>
    </xf>
    <xf numFmtId="44" fontId="3" fillId="0" borderId="23" xfId="2" applyFont="1" applyFill="1" applyBorder="1" applyAlignment="1">
      <alignment horizontal="center"/>
    </xf>
    <xf numFmtId="44" fontId="3" fillId="0" borderId="24" xfId="2" applyFont="1" applyFill="1" applyBorder="1" applyAlignment="1">
      <alignment horizontal="center"/>
    </xf>
    <xf numFmtId="0" fontId="6" fillId="8" borderId="0" xfId="0" applyFont="1" applyFill="1" applyBorder="1" applyAlignment="1">
      <alignment vertical="top" wrapText="1"/>
    </xf>
    <xf numFmtId="0" fontId="0" fillId="8" borderId="0" xfId="0" applyFill="1" applyBorder="1" applyAlignment="1">
      <alignment horizontal="left"/>
    </xf>
    <xf numFmtId="0" fontId="0" fillId="8" borderId="0" xfId="0" applyFill="1" applyBorder="1" applyAlignment="1">
      <alignment wrapText="1"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7" fontId="0" fillId="0" borderId="15" xfId="0" applyNumberFormat="1" applyFill="1" applyBorder="1" applyAlignment="1">
      <alignment horizontal="center"/>
    </xf>
    <xf numFmtId="167" fontId="0" fillId="0" borderId="16" xfId="0" applyNumberFormat="1" applyFill="1" applyBorder="1" applyAlignment="1">
      <alignment horizontal="center"/>
    </xf>
    <xf numFmtId="167" fontId="0" fillId="0" borderId="17" xfId="0" applyNumberFormat="1" applyFill="1" applyBorder="1" applyAlignment="1">
      <alignment horizontal="center"/>
    </xf>
    <xf numFmtId="8" fontId="0" fillId="0" borderId="15" xfId="0" applyNumberFormat="1" applyFill="1" applyBorder="1" applyAlignment="1">
      <alignment horizontal="center"/>
    </xf>
    <xf numFmtId="8" fontId="0" fillId="0" borderId="16" xfId="0" applyNumberFormat="1" applyFill="1" applyBorder="1" applyAlignment="1">
      <alignment horizontal="center"/>
    </xf>
    <xf numFmtId="8" fontId="0" fillId="0" borderId="17" xfId="0" applyNumberFormat="1" applyFill="1" applyBorder="1" applyAlignment="1">
      <alignment horizontal="center"/>
    </xf>
    <xf numFmtId="167" fontId="3" fillId="0" borderId="22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6" fontId="1" fillId="0" borderId="15" xfId="0" applyNumberFormat="1" applyFont="1" applyFill="1" applyBorder="1" applyAlignment="1">
      <alignment horizontal="center"/>
    </xf>
    <xf numFmtId="6" fontId="1" fillId="0" borderId="16" xfId="0" applyNumberFormat="1" applyFont="1" applyFill="1" applyBorder="1" applyAlignment="1">
      <alignment horizontal="center"/>
    </xf>
    <xf numFmtId="6" fontId="1" fillId="0" borderId="17" xfId="0" applyNumberFormat="1" applyFont="1" applyFill="1" applyBorder="1" applyAlignment="1">
      <alignment horizontal="center"/>
    </xf>
    <xf numFmtId="44" fontId="1" fillId="6" borderId="1" xfId="2" applyFont="1" applyFill="1" applyBorder="1" applyAlignment="1" applyProtection="1">
      <alignment horizontal="center"/>
      <protection locked="0"/>
    </xf>
    <xf numFmtId="44" fontId="1" fillId="6" borderId="15" xfId="2" applyFont="1" applyFill="1" applyBorder="1" applyAlignment="1" applyProtection="1">
      <alignment horizontal="center"/>
      <protection locked="0"/>
    </xf>
    <xf numFmtId="44" fontId="1" fillId="6" borderId="16" xfId="2" applyFont="1" applyFill="1" applyBorder="1" applyAlignment="1" applyProtection="1">
      <alignment horizontal="center"/>
      <protection locked="0"/>
    </xf>
    <xf numFmtId="44" fontId="1" fillId="6" borderId="17" xfId="2" applyFont="1" applyFill="1" applyBorder="1" applyAlignment="1" applyProtection="1">
      <alignment horizontal="center"/>
      <protection locked="0"/>
    </xf>
    <xf numFmtId="44" fontId="1" fillId="0" borderId="15" xfId="2" applyFont="1" applyFill="1" applyBorder="1" applyAlignment="1">
      <alignment horizontal="center"/>
    </xf>
    <xf numFmtId="44" fontId="1" fillId="0" borderId="16" xfId="2" applyFont="1" applyFill="1" applyBorder="1" applyAlignment="1">
      <alignment horizontal="center"/>
    </xf>
    <xf numFmtId="44" fontId="1" fillId="0" borderId="17" xfId="2" applyFont="1" applyFill="1" applyBorder="1" applyAlignment="1">
      <alignment horizontal="center"/>
    </xf>
    <xf numFmtId="0" fontId="0" fillId="6" borderId="15" xfId="0" applyFill="1" applyBorder="1" applyAlignment="1" applyProtection="1">
      <alignment horizontal="center"/>
      <protection locked="0"/>
    </xf>
    <xf numFmtId="0" fontId="0" fillId="6" borderId="16" xfId="0" applyFill="1" applyBorder="1" applyAlignment="1" applyProtection="1">
      <alignment horizontal="center"/>
      <protection locked="0"/>
    </xf>
    <xf numFmtId="0" fontId="0" fillId="6" borderId="17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2" fontId="0" fillId="6" borderId="15" xfId="0" applyNumberFormat="1" applyFill="1" applyBorder="1" applyAlignment="1" applyProtection="1">
      <alignment horizontal="center"/>
      <protection locked="0"/>
    </xf>
    <xf numFmtId="2" fontId="0" fillId="6" borderId="16" xfId="0" applyNumberFormat="1" applyFill="1" applyBorder="1" applyAlignment="1" applyProtection="1">
      <alignment horizontal="center"/>
      <protection locked="0"/>
    </xf>
    <xf numFmtId="2" fontId="0" fillId="6" borderId="17" xfId="0" applyNumberFormat="1" applyFill="1" applyBorder="1" applyAlignment="1" applyProtection="1">
      <alignment horizontal="center"/>
      <protection locked="0"/>
    </xf>
    <xf numFmtId="2" fontId="0" fillId="9" borderId="12" xfId="0" applyNumberFormat="1" applyFill="1" applyBorder="1" applyAlignment="1" applyProtection="1">
      <alignment horizontal="center"/>
      <protection locked="0"/>
    </xf>
    <xf numFmtId="2" fontId="0" fillId="9" borderId="18" xfId="0" applyNumberFormat="1" applyFill="1" applyBorder="1" applyAlignment="1" applyProtection="1">
      <alignment horizontal="center"/>
      <protection locked="0"/>
    </xf>
    <xf numFmtId="2" fontId="0" fillId="9" borderId="19" xfId="0" applyNumberFormat="1" applyFill="1" applyBorder="1" applyAlignment="1" applyProtection="1">
      <alignment horizontal="center"/>
      <protection locked="0"/>
    </xf>
    <xf numFmtId="2" fontId="0" fillId="9" borderId="1" xfId="0" applyNumberFormat="1" applyFill="1" applyBorder="1" applyAlignment="1" applyProtection="1">
      <alignment horizontal="center"/>
      <protection locked="0"/>
    </xf>
    <xf numFmtId="0" fontId="0" fillId="9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8" fontId="0" fillId="6" borderId="15" xfId="0" applyNumberFormat="1" applyFill="1" applyBorder="1" applyAlignment="1" applyProtection="1">
      <alignment horizontal="center"/>
      <protection locked="0"/>
    </xf>
    <xf numFmtId="168" fontId="0" fillId="6" borderId="16" xfId="0" applyNumberFormat="1" applyFill="1" applyBorder="1" applyAlignment="1" applyProtection="1">
      <alignment horizontal="center"/>
      <protection locked="0"/>
    </xf>
    <xf numFmtId="168" fontId="0" fillId="6" borderId="17" xfId="0" applyNumberFormat="1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0" fillId="6" borderId="18" xfId="0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</cellXfs>
  <cellStyles count="6">
    <cellStyle name="Comma" xfId="1" builtinId="3"/>
    <cellStyle name="Currency" xfId="2" builtinId="4"/>
    <cellStyle name="Hyperlink" xfId="3" builtinId="8"/>
    <cellStyle name="Normal" xfId="0" builtinId="0"/>
    <cellStyle name="Normal 2" xfId="5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47626</xdr:colOff>
      <xdr:row>1</xdr:row>
      <xdr:rowOff>38100</xdr:rowOff>
    </xdr:from>
    <xdr:to>
      <xdr:col>11</xdr:col>
      <xdr:colOff>200026</xdr:colOff>
      <xdr:row>7</xdr:row>
      <xdr:rowOff>16847</xdr:rowOff>
    </xdr:to>
    <xdr:pic>
      <xdr:nvPicPr>
        <xdr:cNvPr id="2" name="Picture 1" descr="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1" y="200025"/>
          <a:ext cx="2381250" cy="9788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johnson\Local%20Settings\Temporary%20Internet%20Files\Content.Outlook\E42203LR\Costs%20calculat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xeter.ac.uk/media/universityofexeter/humanresources/documents/payroll/Salary%20costs%20ready%20reckoner%20Sep09.XL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lculations"/>
    </sheetNames>
    <sheetDataSet>
      <sheetData sheetId="0"/>
      <sheetData sheetId="1">
        <row r="2">
          <cell r="A2" t="str">
            <v>ERBS</v>
          </cell>
        </row>
        <row r="3">
          <cell r="A3" t="str">
            <v>Not 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y Reckoner"/>
      <sheetName val="Workings"/>
    </sheetNames>
    <sheetDataSet>
      <sheetData sheetId="0"/>
      <sheetData sheetId="1">
        <row r="3">
          <cell r="A3" t="str">
            <v>Please choose:</v>
          </cell>
        </row>
        <row r="4">
          <cell r="A4" t="str">
            <v>ERBS</v>
          </cell>
        </row>
        <row r="5">
          <cell r="A5" t="str">
            <v>USS</v>
          </cell>
        </row>
        <row r="6">
          <cell r="A6" t="str">
            <v>Not in pension scheme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hmrc.gov.uk/rates/nic.ht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nicecalculator.hmrc.gov.uk/Class1NICs1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6"/>
  <sheetViews>
    <sheetView tabSelected="1" topLeftCell="A49" zoomScale="80" workbookViewId="0">
      <selection activeCell="V64" sqref="V64"/>
    </sheetView>
  </sheetViews>
  <sheetFormatPr defaultRowHeight="12.5" x14ac:dyDescent="0.25"/>
  <cols>
    <col min="1" max="3" width="6.7265625" customWidth="1"/>
    <col min="4" max="4" width="2.7265625" customWidth="1"/>
    <col min="5" max="5" width="12" customWidth="1"/>
    <col min="6" max="6" width="2.7265625" customWidth="1"/>
    <col min="7" max="7" width="8.1796875" bestFit="1" customWidth="1"/>
    <col min="8" max="8" width="2.7265625" customWidth="1"/>
    <col min="9" max="9" width="9.7265625" style="45" customWidth="1"/>
    <col min="10" max="10" width="11.26953125" customWidth="1"/>
    <col min="11" max="11" width="14" customWidth="1"/>
    <col min="12" max="12" width="9.7265625" customWidth="1"/>
    <col min="13" max="13" width="2.7265625" customWidth="1"/>
    <col min="14" max="14" width="9.7265625" customWidth="1"/>
    <col min="15" max="15" width="14.453125" customWidth="1"/>
    <col min="16" max="16" width="9.7265625" customWidth="1"/>
    <col min="17" max="17" width="2.7265625" customWidth="1"/>
  </cols>
  <sheetData>
    <row r="1" spans="1:20" ht="15.5" x14ac:dyDescent="0.25">
      <c r="A1" s="54" t="s">
        <v>121</v>
      </c>
      <c r="B1" s="3"/>
      <c r="C1" s="3"/>
      <c r="D1" s="1"/>
      <c r="E1" s="3"/>
      <c r="F1" s="3"/>
      <c r="G1" s="3"/>
      <c r="H1" s="3"/>
      <c r="I1" s="40"/>
      <c r="J1" s="3"/>
      <c r="K1" s="3"/>
      <c r="L1" s="36"/>
      <c r="M1" s="37" t="s">
        <v>19</v>
      </c>
      <c r="Q1" s="3"/>
    </row>
    <row r="2" spans="1:20" ht="14" x14ac:dyDescent="0.25">
      <c r="A2" s="53" t="s">
        <v>126</v>
      </c>
      <c r="B2" s="3"/>
      <c r="C2" s="3"/>
      <c r="D2" s="1"/>
      <c r="E2" s="3"/>
      <c r="F2" s="3"/>
      <c r="G2" s="3"/>
      <c r="H2" s="3"/>
      <c r="I2" s="40"/>
      <c r="J2" s="3"/>
      <c r="K2" s="3"/>
      <c r="L2" s="132"/>
      <c r="M2" s="37" t="s">
        <v>20</v>
      </c>
      <c r="Q2" s="3"/>
    </row>
    <row r="3" spans="1:20" ht="15" customHeight="1" x14ac:dyDescent="0.5">
      <c r="A3" s="53" t="s">
        <v>125</v>
      </c>
      <c r="B3" s="3"/>
      <c r="C3" s="3"/>
      <c r="D3" s="1"/>
      <c r="E3" s="3"/>
      <c r="F3" s="3"/>
      <c r="G3" s="3"/>
      <c r="H3" s="3"/>
      <c r="I3" s="40"/>
      <c r="J3" s="32"/>
      <c r="K3" s="32"/>
      <c r="L3" s="3"/>
      <c r="M3" s="3"/>
      <c r="N3" s="3"/>
      <c r="O3" s="3"/>
      <c r="P3" s="3"/>
    </row>
    <row r="4" spans="1:20" ht="15" customHeight="1" x14ac:dyDescent="0.3">
      <c r="A4" s="53" t="s">
        <v>122</v>
      </c>
      <c r="B4" s="3"/>
      <c r="C4" s="3"/>
      <c r="D4" s="1"/>
      <c r="E4" s="3"/>
      <c r="F4" s="3"/>
      <c r="G4" s="3"/>
      <c r="H4" s="3"/>
      <c r="I4" s="40"/>
      <c r="L4" s="3"/>
      <c r="M4" s="3"/>
      <c r="N4" s="125"/>
      <c r="O4" s="125"/>
      <c r="P4" s="125"/>
      <c r="Q4" s="125"/>
    </row>
    <row r="5" spans="1:20" ht="15" customHeight="1" x14ac:dyDescent="0.25">
      <c r="A5" s="165" t="s">
        <v>42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</row>
    <row r="6" spans="1:20" ht="13" x14ac:dyDescent="0.3">
      <c r="A6" s="20"/>
      <c r="B6" s="3"/>
      <c r="C6" s="3"/>
      <c r="D6" s="1"/>
      <c r="E6" s="3"/>
      <c r="F6" s="3"/>
      <c r="G6" s="3"/>
      <c r="H6" s="3"/>
      <c r="I6" s="40"/>
      <c r="J6" s="3"/>
      <c r="K6" s="3"/>
      <c r="L6" s="3"/>
      <c r="M6" s="3"/>
      <c r="N6" s="3"/>
      <c r="O6" s="3"/>
      <c r="P6" s="3"/>
    </row>
    <row r="7" spans="1:20" ht="35.25" customHeight="1" x14ac:dyDescent="0.3">
      <c r="A7" s="1"/>
      <c r="B7" s="3"/>
      <c r="C7" s="3"/>
      <c r="D7" s="1"/>
      <c r="E7" s="150" t="s">
        <v>109</v>
      </c>
      <c r="F7" s="25"/>
      <c r="G7" s="168" t="s">
        <v>30</v>
      </c>
      <c r="H7" s="169"/>
      <c r="I7" s="169"/>
      <c r="J7" s="169"/>
      <c r="K7" s="169"/>
      <c r="L7" s="170"/>
      <c r="M7" s="25"/>
      <c r="N7" s="168" t="s">
        <v>15</v>
      </c>
      <c r="O7" s="169"/>
      <c r="P7" s="170"/>
      <c r="T7">
        <f>-U18</f>
        <v>0</v>
      </c>
    </row>
    <row r="8" spans="1:20" ht="37.5" x14ac:dyDescent="0.3">
      <c r="A8" s="144" t="s">
        <v>0</v>
      </c>
      <c r="B8" s="142"/>
      <c r="C8" s="3"/>
      <c r="D8" s="1"/>
      <c r="E8" s="143" t="s">
        <v>123</v>
      </c>
      <c r="F8" s="30"/>
      <c r="G8" s="145" t="s">
        <v>31</v>
      </c>
      <c r="H8" s="30"/>
      <c r="I8" s="146" t="s">
        <v>41</v>
      </c>
      <c r="J8" s="145" t="s">
        <v>32</v>
      </c>
      <c r="K8" s="129" t="s">
        <v>108</v>
      </c>
      <c r="L8" s="147" t="s">
        <v>17</v>
      </c>
      <c r="M8" s="24"/>
      <c r="N8" s="148" t="s">
        <v>41</v>
      </c>
      <c r="O8" s="129" t="s">
        <v>108</v>
      </c>
      <c r="P8" s="149" t="s">
        <v>17</v>
      </c>
    </row>
    <row r="9" spans="1:20" ht="13" x14ac:dyDescent="0.3">
      <c r="A9" s="138">
        <v>71</v>
      </c>
      <c r="B9" s="132"/>
      <c r="C9" s="131"/>
      <c r="D9" s="11"/>
      <c r="E9" s="128">
        <v>113251</v>
      </c>
      <c r="F9" s="30"/>
      <c r="G9" s="23" t="s">
        <v>23</v>
      </c>
      <c r="H9" s="30"/>
      <c r="I9" s="49">
        <f>SUM(E9-'Standing data'!$D$11)*'Standing data'!$D$13</f>
        <v>14415.894000000002</v>
      </c>
      <c r="J9" s="21">
        <f>INT(E9*'Standing data'!$B$4)</f>
        <v>23895</v>
      </c>
      <c r="K9" s="49">
        <f>INT(E9*'Standing data'!$B$22)</f>
        <v>566</v>
      </c>
      <c r="L9" s="21">
        <f>E9+I9+J9+K9</f>
        <v>152127.894</v>
      </c>
      <c r="M9" s="24"/>
      <c r="N9" s="49">
        <f>((E9-'Standing data'!$D$11)*'Standing data'!$D$13)</f>
        <v>14415.894000000002</v>
      </c>
      <c r="O9" s="49">
        <f>INT(E9*'Standing data'!$B$22)</f>
        <v>566</v>
      </c>
      <c r="P9" s="50">
        <f>E9+N9+O9</f>
        <v>128232.894</v>
      </c>
    </row>
    <row r="10" spans="1:20" ht="13" x14ac:dyDescent="0.3">
      <c r="A10" s="138">
        <v>70</v>
      </c>
      <c r="B10" s="132"/>
      <c r="C10" s="131"/>
      <c r="D10" s="11"/>
      <c r="E10" s="128">
        <v>109954</v>
      </c>
      <c r="F10" s="30"/>
      <c r="G10" s="23" t="s">
        <v>23</v>
      </c>
      <c r="H10" s="30"/>
      <c r="I10" s="49">
        <f>SUM(E10-'Standing data'!$D$11)*'Standing data'!$D$13</f>
        <v>13960.908000000001</v>
      </c>
      <c r="J10" s="21">
        <f>INT(E10*'Standing data'!$B$4)</f>
        <v>23200</v>
      </c>
      <c r="K10" s="49">
        <f>INT(E10*'Standing data'!$B$22)</f>
        <v>549</v>
      </c>
      <c r="L10" s="21">
        <f t="shared" ref="L10:L73" si="0">E10+I10+J10+K10</f>
        <v>147663.908</v>
      </c>
      <c r="M10" s="24"/>
      <c r="N10" s="49">
        <f>((E10-'Standing data'!$D$11)*'Standing data'!$D$13)</f>
        <v>13960.908000000001</v>
      </c>
      <c r="O10" s="49">
        <f>INT(E10*'Standing data'!$B$22)</f>
        <v>549</v>
      </c>
      <c r="P10" s="50">
        <f t="shared" ref="P10:P73" si="1">E10+N10+O10</f>
        <v>124463.908</v>
      </c>
    </row>
    <row r="11" spans="1:20" ht="13" x14ac:dyDescent="0.3">
      <c r="A11" s="138">
        <v>69</v>
      </c>
      <c r="B11" s="132"/>
      <c r="C11" s="131"/>
      <c r="D11" s="11"/>
      <c r="E11" s="128">
        <v>106751</v>
      </c>
      <c r="F11" s="30"/>
      <c r="G11" s="23" t="s">
        <v>23</v>
      </c>
      <c r="H11" s="30"/>
      <c r="I11" s="49">
        <f>SUM(E11-'Standing data'!$D$11)*'Standing data'!$D$13</f>
        <v>13518.894</v>
      </c>
      <c r="J11" s="21">
        <f>INT(E11*'Standing data'!$B$4)</f>
        <v>22524</v>
      </c>
      <c r="K11" s="49">
        <f>INT(E11*'Standing data'!$B$22)</f>
        <v>533</v>
      </c>
      <c r="L11" s="21">
        <f t="shared" si="0"/>
        <v>143326.894</v>
      </c>
      <c r="M11" s="24"/>
      <c r="N11" s="49">
        <f>((E11-'Standing data'!$D$11)*'Standing data'!$D$13)</f>
        <v>13518.894</v>
      </c>
      <c r="O11" s="49">
        <f>INT(E11*'Standing data'!$B$22)</f>
        <v>533</v>
      </c>
      <c r="P11" s="50">
        <f t="shared" si="1"/>
        <v>120802.894</v>
      </c>
    </row>
    <row r="12" spans="1:20" ht="13" x14ac:dyDescent="0.3">
      <c r="A12" s="138">
        <v>68</v>
      </c>
      <c r="B12" s="93"/>
      <c r="C12" s="132"/>
      <c r="D12" s="11"/>
      <c r="E12" s="128">
        <v>103642</v>
      </c>
      <c r="F12" s="30"/>
      <c r="G12" s="23" t="s">
        <v>23</v>
      </c>
      <c r="H12" s="30"/>
      <c r="I12" s="49">
        <f>SUM(E12-'Standing data'!$D$11)*'Standing data'!$D$13</f>
        <v>13089.852000000001</v>
      </c>
      <c r="J12" s="21">
        <f>INT(E12*'Standing data'!$B$4)</f>
        <v>21868</v>
      </c>
      <c r="K12" s="49">
        <f>INT(E12*'Standing data'!$B$22)</f>
        <v>518</v>
      </c>
      <c r="L12" s="21">
        <f t="shared" si="0"/>
        <v>139117.85200000001</v>
      </c>
      <c r="M12" s="24"/>
      <c r="N12" s="49">
        <f>((E12-'Standing data'!$D$11)*'Standing data'!$D$13)</f>
        <v>13089.852000000001</v>
      </c>
      <c r="O12" s="49">
        <f>INT(E12*'Standing data'!$B$22)</f>
        <v>518</v>
      </c>
      <c r="P12" s="50">
        <f t="shared" si="1"/>
        <v>117249.852</v>
      </c>
    </row>
    <row r="13" spans="1:20" ht="13" x14ac:dyDescent="0.3">
      <c r="A13" s="138">
        <v>67</v>
      </c>
      <c r="B13" s="93"/>
      <c r="C13" s="132"/>
      <c r="D13" s="11"/>
      <c r="E13" s="128">
        <v>100622</v>
      </c>
      <c r="F13" s="30"/>
      <c r="G13" s="23" t="s">
        <v>23</v>
      </c>
      <c r="H13" s="30"/>
      <c r="I13" s="49">
        <f>SUM(E13-'Standing data'!$D$11)*'Standing data'!$D$13</f>
        <v>12673.092000000001</v>
      </c>
      <c r="J13" s="21">
        <f>INT(E13*'Standing data'!$B$4)</f>
        <v>21231</v>
      </c>
      <c r="K13" s="49">
        <f>INT(E13*'Standing data'!$B$22)</f>
        <v>503</v>
      </c>
      <c r="L13" s="21">
        <f t="shared" si="0"/>
        <v>135029.092</v>
      </c>
      <c r="M13" s="24"/>
      <c r="N13" s="49">
        <f>((E13-'Standing data'!$D$11)*'Standing data'!$D$13)</f>
        <v>12673.092000000001</v>
      </c>
      <c r="O13" s="49">
        <f>INT(E13*'Standing data'!$B$22)</f>
        <v>503</v>
      </c>
      <c r="P13" s="50">
        <f t="shared" si="1"/>
        <v>113798.092</v>
      </c>
    </row>
    <row r="14" spans="1:20" ht="13" x14ac:dyDescent="0.3">
      <c r="A14" s="138">
        <v>66</v>
      </c>
      <c r="B14" s="93"/>
      <c r="C14" s="132"/>
      <c r="D14" s="11"/>
      <c r="E14" s="128">
        <v>97692</v>
      </c>
      <c r="F14" s="30"/>
      <c r="G14" s="23" t="s">
        <v>23</v>
      </c>
      <c r="H14" s="30"/>
      <c r="I14" s="49">
        <f>SUM(E14-'Standing data'!$D$11)*'Standing data'!$D$13</f>
        <v>12268.752</v>
      </c>
      <c r="J14" s="21">
        <f>INT(E14*'Standing data'!$B$4)</f>
        <v>20613</v>
      </c>
      <c r="K14" s="49">
        <f>INT(E14*'Standing data'!$B$22)</f>
        <v>488</v>
      </c>
      <c r="L14" s="21">
        <f t="shared" si="0"/>
        <v>131061.75200000001</v>
      </c>
      <c r="M14" s="24"/>
      <c r="N14" s="49">
        <f>((E14-'Standing data'!$D$11)*'Standing data'!$D$13)</f>
        <v>12268.752</v>
      </c>
      <c r="O14" s="49">
        <f>INT(E14*'Standing data'!$B$22)</f>
        <v>488</v>
      </c>
      <c r="P14" s="50">
        <f t="shared" si="1"/>
        <v>110448.75200000001</v>
      </c>
    </row>
    <row r="15" spans="1:20" ht="13" x14ac:dyDescent="0.3">
      <c r="A15" s="138">
        <v>65</v>
      </c>
      <c r="B15" s="93"/>
      <c r="C15" s="132"/>
      <c r="D15" s="11"/>
      <c r="E15" s="128">
        <v>94848</v>
      </c>
      <c r="F15" s="30"/>
      <c r="G15" s="23" t="s">
        <v>23</v>
      </c>
      <c r="H15" s="30"/>
      <c r="I15" s="49">
        <f>SUM(E15-'Standing data'!$D$11)*'Standing data'!$D$13</f>
        <v>11876.28</v>
      </c>
      <c r="J15" s="21">
        <f>INT(E15*'Standing data'!$B$4)</f>
        <v>20012</v>
      </c>
      <c r="K15" s="49">
        <f>INT(E15*'Standing data'!$B$22)</f>
        <v>474</v>
      </c>
      <c r="L15" s="21">
        <f t="shared" si="0"/>
        <v>127210.28</v>
      </c>
      <c r="M15" s="24"/>
      <c r="N15" s="49">
        <f>((E15-'Standing data'!$D$11)*'Standing data'!$D$13)</f>
        <v>11876.28</v>
      </c>
      <c r="O15" s="49">
        <f>INT(E15*'Standing data'!$B$22)</f>
        <v>474</v>
      </c>
      <c r="P15" s="50">
        <f t="shared" si="1"/>
        <v>107198.28</v>
      </c>
    </row>
    <row r="16" spans="1:20" ht="13" x14ac:dyDescent="0.3">
      <c r="A16" s="138">
        <v>64</v>
      </c>
      <c r="B16" s="93"/>
      <c r="C16" s="132"/>
      <c r="D16" s="11"/>
      <c r="E16" s="128">
        <v>92085</v>
      </c>
      <c r="F16" s="30"/>
      <c r="G16" s="23" t="s">
        <v>23</v>
      </c>
      <c r="H16" s="30"/>
      <c r="I16" s="49">
        <f>SUM(E16-'Standing data'!$D$11)*'Standing data'!$D$13</f>
        <v>11494.986000000001</v>
      </c>
      <c r="J16" s="21">
        <f>INT(E16*'Standing data'!$B$4)</f>
        <v>19429</v>
      </c>
      <c r="K16" s="49">
        <f>INT(E16*'Standing data'!$B$22)</f>
        <v>460</v>
      </c>
      <c r="L16" s="21">
        <f t="shared" si="0"/>
        <v>123468.986</v>
      </c>
      <c r="M16" s="24"/>
      <c r="N16" s="49">
        <f>((E16-'Standing data'!$D$11)*'Standing data'!$D$13)</f>
        <v>11494.986000000001</v>
      </c>
      <c r="O16" s="49">
        <f>INT(E16*'Standing data'!$B$22)</f>
        <v>460</v>
      </c>
      <c r="P16" s="50">
        <f t="shared" si="1"/>
        <v>104039.986</v>
      </c>
    </row>
    <row r="17" spans="1:16" ht="13" x14ac:dyDescent="0.3">
      <c r="A17" s="138">
        <v>63</v>
      </c>
      <c r="B17" s="93"/>
      <c r="C17" s="132"/>
      <c r="D17" s="11"/>
      <c r="E17" s="128">
        <v>89403</v>
      </c>
      <c r="F17" s="30"/>
      <c r="G17" s="23" t="s">
        <v>23</v>
      </c>
      <c r="H17" s="30"/>
      <c r="I17" s="49">
        <f>SUM(E17-'Standing data'!$D$11)*'Standing data'!$D$13</f>
        <v>11124.87</v>
      </c>
      <c r="J17" s="21">
        <f>INT(E17*'Standing data'!$B$4)</f>
        <v>18864</v>
      </c>
      <c r="K17" s="49">
        <f>INT(E17*'Standing data'!$B$22)</f>
        <v>447</v>
      </c>
      <c r="L17" s="21">
        <f t="shared" si="0"/>
        <v>119838.87</v>
      </c>
      <c r="M17" s="24"/>
      <c r="N17" s="49">
        <f>((E17-'Standing data'!$D$11)*'Standing data'!$D$13)</f>
        <v>11124.87</v>
      </c>
      <c r="O17" s="49">
        <f>INT(E17*'Standing data'!$B$22)</f>
        <v>447</v>
      </c>
      <c r="P17" s="50">
        <f t="shared" si="1"/>
        <v>100974.87</v>
      </c>
    </row>
    <row r="18" spans="1:16" ht="13" x14ac:dyDescent="0.3">
      <c r="A18" s="138">
        <v>62</v>
      </c>
      <c r="B18" s="93"/>
      <c r="C18" s="132"/>
      <c r="D18" s="11"/>
      <c r="E18" s="128">
        <v>86800</v>
      </c>
      <c r="F18" s="30"/>
      <c r="G18" s="23" t="s">
        <v>23</v>
      </c>
      <c r="H18" s="30"/>
      <c r="I18" s="49">
        <f>SUM(E18-'Standing data'!$D$11)*'Standing data'!$D$13</f>
        <v>10765.656000000001</v>
      </c>
      <c r="J18" s="21">
        <f>INT(E18*'Standing data'!$B$4)</f>
        <v>18314</v>
      </c>
      <c r="K18" s="49">
        <f>INT(E18*'Standing data'!$B$22)</f>
        <v>434</v>
      </c>
      <c r="L18" s="21">
        <f t="shared" si="0"/>
        <v>116313.656</v>
      </c>
      <c r="M18" s="24"/>
      <c r="N18" s="49">
        <f>((E18-'Standing data'!$D$11)*'Standing data'!$D$13)</f>
        <v>10765.656000000001</v>
      </c>
      <c r="O18" s="49">
        <f>INT(E18*'Standing data'!$B$22)</f>
        <v>434</v>
      </c>
      <c r="P18" s="50">
        <f t="shared" si="1"/>
        <v>97999.656000000003</v>
      </c>
    </row>
    <row r="19" spans="1:16" ht="13" x14ac:dyDescent="0.3">
      <c r="A19" s="138">
        <v>61</v>
      </c>
      <c r="B19" s="93"/>
      <c r="C19" s="132"/>
      <c r="D19" s="11"/>
      <c r="E19" s="128">
        <v>84271</v>
      </c>
      <c r="F19" s="30"/>
      <c r="G19" s="23" t="s">
        <v>23</v>
      </c>
      <c r="H19" s="30"/>
      <c r="I19" s="49">
        <f>SUM(E19-'Standing data'!$D$11)*'Standing data'!$D$13</f>
        <v>10416.654</v>
      </c>
      <c r="J19" s="21">
        <f>INT(E19*'Standing data'!$B$4)</f>
        <v>17781</v>
      </c>
      <c r="K19" s="49">
        <f>INT(E19*'Standing data'!$B$22)</f>
        <v>421</v>
      </c>
      <c r="L19" s="21">
        <f t="shared" si="0"/>
        <v>112889.65399999999</v>
      </c>
      <c r="M19" s="24"/>
      <c r="N19" s="49">
        <f>((E19-'Standing data'!$D$11)*'Standing data'!$D$13)</f>
        <v>10416.654</v>
      </c>
      <c r="O19" s="49">
        <f>INT(E19*'Standing data'!$B$22)</f>
        <v>421</v>
      </c>
      <c r="P19" s="50">
        <f t="shared" si="1"/>
        <v>95108.653999999995</v>
      </c>
    </row>
    <row r="20" spans="1:16" ht="13" x14ac:dyDescent="0.3">
      <c r="A20" s="138">
        <v>60</v>
      </c>
      <c r="B20" s="132"/>
      <c r="C20" s="132"/>
      <c r="D20" s="11"/>
      <c r="E20" s="128">
        <v>81817</v>
      </c>
      <c r="F20" s="30"/>
      <c r="G20" s="23" t="s">
        <v>23</v>
      </c>
      <c r="H20" s="30"/>
      <c r="I20" s="49">
        <f>SUM(E20-'Standing data'!$D$11)*'Standing data'!$D$13</f>
        <v>10078.002</v>
      </c>
      <c r="J20" s="21">
        <f>INT(E20*'Standing data'!$B$4)</f>
        <v>17263</v>
      </c>
      <c r="K20" s="49">
        <f>INT(E20*'Standing data'!$B$22)</f>
        <v>409</v>
      </c>
      <c r="L20" s="21">
        <f t="shared" si="0"/>
        <v>109567.00200000001</v>
      </c>
      <c r="M20" s="24"/>
      <c r="N20" s="49">
        <f>((E20-'Standing data'!$D$11)*'Standing data'!$D$13)</f>
        <v>10078.002</v>
      </c>
      <c r="O20" s="49">
        <f>INT(E20*'Standing data'!$B$22)</f>
        <v>409</v>
      </c>
      <c r="P20" s="50">
        <f t="shared" si="1"/>
        <v>92304.002000000008</v>
      </c>
    </row>
    <row r="21" spans="1:16" ht="13" x14ac:dyDescent="0.3">
      <c r="A21" s="138">
        <v>59</v>
      </c>
      <c r="B21" s="132"/>
      <c r="C21" s="132"/>
      <c r="D21" s="11"/>
      <c r="E21" s="128">
        <v>79434</v>
      </c>
      <c r="F21" s="30"/>
      <c r="G21" s="23" t="s">
        <v>23</v>
      </c>
      <c r="H21" s="30"/>
      <c r="I21" s="49">
        <f>SUM(E21-'Standing data'!$D$11)*'Standing data'!$D$13</f>
        <v>9749.148000000001</v>
      </c>
      <c r="J21" s="21">
        <f>INT(E21*'Standing data'!$B$4)</f>
        <v>16760</v>
      </c>
      <c r="K21" s="49">
        <f>INT(E21*'Standing data'!$B$22)</f>
        <v>397</v>
      </c>
      <c r="L21" s="21">
        <f t="shared" si="0"/>
        <v>106340.148</v>
      </c>
      <c r="M21" s="24"/>
      <c r="N21" s="49">
        <f>((E21-'Standing data'!$D$11)*'Standing data'!$D$13)</f>
        <v>9749.148000000001</v>
      </c>
      <c r="O21" s="49">
        <f>INT(E21*'Standing data'!$B$22)</f>
        <v>397</v>
      </c>
      <c r="P21" s="50">
        <f t="shared" si="1"/>
        <v>89580.148000000001</v>
      </c>
    </row>
    <row r="22" spans="1:16" ht="13" x14ac:dyDescent="0.3">
      <c r="A22" s="138">
        <v>58</v>
      </c>
      <c r="B22" s="132"/>
      <c r="C22" s="132"/>
      <c r="D22" s="11"/>
      <c r="E22" s="128">
        <v>77119</v>
      </c>
      <c r="F22" s="30"/>
      <c r="G22" s="23" t="s">
        <v>23</v>
      </c>
      <c r="H22" s="30"/>
      <c r="I22" s="49">
        <f>SUM(E22-'Standing data'!$D$11)*'Standing data'!$D$13</f>
        <v>9429.6779999999999</v>
      </c>
      <c r="J22" s="21">
        <f>INT(E22*'Standing data'!$B$4)</f>
        <v>16272</v>
      </c>
      <c r="K22" s="49">
        <f>INT(E22*'Standing data'!$B$22)</f>
        <v>385</v>
      </c>
      <c r="L22" s="21">
        <f t="shared" si="0"/>
        <v>103205.678</v>
      </c>
      <c r="M22" s="24"/>
      <c r="N22" s="49">
        <f>((E22-'Standing data'!$D$11)*'Standing data'!$D$13)</f>
        <v>9429.6779999999999</v>
      </c>
      <c r="O22" s="49">
        <f>INT(E22*'Standing data'!$B$22)</f>
        <v>385</v>
      </c>
      <c r="P22" s="50">
        <f t="shared" si="1"/>
        <v>86933.678</v>
      </c>
    </row>
    <row r="23" spans="1:16" ht="13" x14ac:dyDescent="0.3">
      <c r="A23" s="138">
        <v>57</v>
      </c>
      <c r="B23" s="132"/>
      <c r="C23" s="124"/>
      <c r="D23" s="11"/>
      <c r="E23" s="128">
        <v>74873</v>
      </c>
      <c r="F23" s="30"/>
      <c r="G23" s="23" t="s">
        <v>23</v>
      </c>
      <c r="H23" s="30"/>
      <c r="I23" s="49">
        <f>SUM(E23-'Standing data'!$D$11)*'Standing data'!$D$13</f>
        <v>9119.7300000000014</v>
      </c>
      <c r="J23" s="21">
        <f>INT(E23*'Standing data'!$B$4)</f>
        <v>15798</v>
      </c>
      <c r="K23" s="49">
        <f>INT(E23*'Standing data'!$B$22)</f>
        <v>374</v>
      </c>
      <c r="L23" s="21">
        <f t="shared" si="0"/>
        <v>100164.73</v>
      </c>
      <c r="M23" s="24"/>
      <c r="N23" s="49">
        <f>((E23-'Standing data'!$D$11)*'Standing data'!$D$13)</f>
        <v>9119.7300000000014</v>
      </c>
      <c r="O23" s="49">
        <f>INT(E23*'Standing data'!$B$22)</f>
        <v>374</v>
      </c>
      <c r="P23" s="50">
        <f t="shared" si="1"/>
        <v>84366.73</v>
      </c>
    </row>
    <row r="24" spans="1:16" ht="13" x14ac:dyDescent="0.3">
      <c r="A24" s="138">
        <v>56</v>
      </c>
      <c r="B24" s="132"/>
      <c r="C24" s="132"/>
      <c r="D24" s="11"/>
      <c r="E24" s="128">
        <v>72692</v>
      </c>
      <c r="F24" s="30"/>
      <c r="G24" s="23" t="s">
        <v>23</v>
      </c>
      <c r="H24" s="30"/>
      <c r="I24" s="49">
        <f>SUM(E24-'Standing data'!$D$11)*'Standing data'!$D$13</f>
        <v>8818.7520000000004</v>
      </c>
      <c r="J24" s="21">
        <f>INT(E24*'Standing data'!$B$4)</f>
        <v>15338</v>
      </c>
      <c r="K24" s="49">
        <f>INT(E24*'Standing data'!$B$22)</f>
        <v>363</v>
      </c>
      <c r="L24" s="21">
        <f t="shared" si="0"/>
        <v>97211.752000000008</v>
      </c>
      <c r="M24" s="24"/>
      <c r="N24" s="49">
        <f>((E24-'Standing data'!$D$11)*'Standing data'!$D$13)</f>
        <v>8818.7520000000004</v>
      </c>
      <c r="O24" s="49">
        <f>INT(E24*'Standing data'!$B$22)</f>
        <v>363</v>
      </c>
      <c r="P24" s="50">
        <f t="shared" si="1"/>
        <v>81873.752000000008</v>
      </c>
    </row>
    <row r="25" spans="1:16" ht="13" x14ac:dyDescent="0.3">
      <c r="A25" s="138">
        <v>55</v>
      </c>
      <c r="B25" s="132"/>
      <c r="C25" s="132"/>
      <c r="D25" s="11"/>
      <c r="E25" s="128">
        <v>70583</v>
      </c>
      <c r="F25" s="30"/>
      <c r="G25" s="23" t="s">
        <v>23</v>
      </c>
      <c r="H25" s="30"/>
      <c r="I25" s="49">
        <f>SUM(E25-'Standing data'!$D$11)*'Standing data'!$D$13</f>
        <v>8527.7100000000009</v>
      </c>
      <c r="J25" s="21">
        <f>INT(E25*'Standing data'!$B$4)</f>
        <v>14893</v>
      </c>
      <c r="K25" s="49">
        <f>INT(E25*'Standing data'!$B$22)</f>
        <v>352</v>
      </c>
      <c r="L25" s="21">
        <f t="shared" si="0"/>
        <v>94355.71</v>
      </c>
      <c r="M25" s="24"/>
      <c r="N25" s="49">
        <f>((E25-'Standing data'!$D$11)*'Standing data'!$D$13)</f>
        <v>8527.7100000000009</v>
      </c>
      <c r="O25" s="49">
        <f>INT(E25*'Standing data'!$B$22)</f>
        <v>352</v>
      </c>
      <c r="P25" s="50">
        <f t="shared" si="1"/>
        <v>79462.710000000006</v>
      </c>
    </row>
    <row r="26" spans="1:16" x14ac:dyDescent="0.25">
      <c r="A26" s="139">
        <v>54</v>
      </c>
      <c r="B26" s="133"/>
      <c r="C26" s="133"/>
      <c r="D26" s="11"/>
      <c r="E26" s="128">
        <v>68531</v>
      </c>
      <c r="F26" s="31"/>
      <c r="G26" s="23" t="s">
        <v>23</v>
      </c>
      <c r="H26" s="31"/>
      <c r="I26" s="49">
        <f>SUM(E26-'Standing data'!$D$11)*'Standing data'!$D$13</f>
        <v>8244.5340000000015</v>
      </c>
      <c r="J26" s="21">
        <f>INT(E26*'Standing data'!$B$4)</f>
        <v>14460</v>
      </c>
      <c r="K26" s="49">
        <f>INT(E26*'Standing data'!$B$22)</f>
        <v>342</v>
      </c>
      <c r="L26" s="21">
        <f t="shared" si="0"/>
        <v>91577.534</v>
      </c>
      <c r="M26" s="23"/>
      <c r="N26" s="49">
        <f>((E26-'Standing data'!$D$11)*'Standing data'!$D$13)</f>
        <v>8244.5340000000015</v>
      </c>
      <c r="O26" s="49">
        <f>INT(E26*'Standing data'!$B$22)</f>
        <v>342</v>
      </c>
      <c r="P26" s="50">
        <f t="shared" si="1"/>
        <v>77117.534</v>
      </c>
    </row>
    <row r="27" spans="1:16" x14ac:dyDescent="0.25">
      <c r="A27" s="139">
        <v>53</v>
      </c>
      <c r="B27" s="4"/>
      <c r="C27" s="133"/>
      <c r="D27" s="11"/>
      <c r="E27" s="128">
        <v>66541</v>
      </c>
      <c r="F27" s="31"/>
      <c r="G27" s="23" t="s">
        <v>23</v>
      </c>
      <c r="H27" s="31"/>
      <c r="I27" s="49">
        <f>SUM(E27-'Standing data'!$D$11)*'Standing data'!$D$13</f>
        <v>7969.9140000000007</v>
      </c>
      <c r="J27" s="21">
        <f>INT(E27*'Standing data'!$B$4)</f>
        <v>14040</v>
      </c>
      <c r="K27" s="49">
        <f>INT(E27*'Standing data'!$B$22)</f>
        <v>332</v>
      </c>
      <c r="L27" s="21">
        <f t="shared" si="0"/>
        <v>88882.914000000004</v>
      </c>
      <c r="M27" s="23"/>
      <c r="N27" s="49">
        <f>((E27-'Standing data'!$D$11)*'Standing data'!$D$13)</f>
        <v>7969.9140000000007</v>
      </c>
      <c r="O27" s="49">
        <f>INT(E27*'Standing data'!$B$22)</f>
        <v>332</v>
      </c>
      <c r="P27" s="50">
        <f t="shared" si="1"/>
        <v>74842.914000000004</v>
      </c>
    </row>
    <row r="28" spans="1:16" x14ac:dyDescent="0.25">
      <c r="A28" s="139">
        <v>52</v>
      </c>
      <c r="B28" s="4"/>
      <c r="C28" s="133"/>
      <c r="D28" s="11"/>
      <c r="E28" s="128">
        <v>64606</v>
      </c>
      <c r="F28" s="31"/>
      <c r="G28" s="23" t="s">
        <v>23</v>
      </c>
      <c r="H28" s="31"/>
      <c r="I28" s="49">
        <f>SUM(E28-'Standing data'!$D$11)*'Standing data'!$D$13</f>
        <v>7702.8840000000009</v>
      </c>
      <c r="J28" s="21">
        <f>INT(E28*'Standing data'!$B$4)</f>
        <v>13631</v>
      </c>
      <c r="K28" s="49">
        <f>INT(E28*'Standing data'!$B$22)</f>
        <v>323</v>
      </c>
      <c r="L28" s="21">
        <f t="shared" si="0"/>
        <v>86262.884000000005</v>
      </c>
      <c r="M28" s="23"/>
      <c r="N28" s="49">
        <f>((E28-'Standing data'!$D$11)*'Standing data'!$D$13)</f>
        <v>7702.8840000000009</v>
      </c>
      <c r="O28" s="49">
        <f>INT(E28*'Standing data'!$B$22)</f>
        <v>323</v>
      </c>
      <c r="P28" s="50">
        <f t="shared" si="1"/>
        <v>72631.884000000005</v>
      </c>
    </row>
    <row r="29" spans="1:16" x14ac:dyDescent="0.25">
      <c r="A29" s="139">
        <v>51</v>
      </c>
      <c r="B29" s="4"/>
      <c r="C29" s="134"/>
      <c r="D29" s="1"/>
      <c r="E29" s="128">
        <v>62727</v>
      </c>
      <c r="F29" s="27"/>
      <c r="G29" s="23" t="s">
        <v>23</v>
      </c>
      <c r="H29" s="27"/>
      <c r="I29" s="49">
        <f>SUM(E29-'Standing data'!$D$11)*'Standing data'!$D$13</f>
        <v>7443.5820000000003</v>
      </c>
      <c r="J29" s="21">
        <f>INT(E29*'Standing data'!$B$4)</f>
        <v>13235</v>
      </c>
      <c r="K29" s="49">
        <f>INT(E29*'Standing data'!$B$22)</f>
        <v>313</v>
      </c>
      <c r="L29" s="21">
        <f t="shared" si="0"/>
        <v>83718.581999999995</v>
      </c>
      <c r="M29" s="23"/>
      <c r="N29" s="49">
        <f>((E29-'Standing data'!$D$11)*'Standing data'!$D$13)</f>
        <v>7443.5820000000003</v>
      </c>
      <c r="O29" s="49">
        <f>INT(E29*'Standing data'!$B$22)</f>
        <v>313</v>
      </c>
      <c r="P29" s="50">
        <f t="shared" si="1"/>
        <v>70483.581999999995</v>
      </c>
    </row>
    <row r="30" spans="1:16" x14ac:dyDescent="0.25">
      <c r="A30" s="139">
        <v>50</v>
      </c>
      <c r="B30" s="4"/>
      <c r="C30" s="17"/>
      <c r="D30" s="1"/>
      <c r="E30" s="128">
        <v>60905</v>
      </c>
      <c r="F30" s="27"/>
      <c r="G30" s="23" t="s">
        <v>23</v>
      </c>
      <c r="H30" s="27"/>
      <c r="I30" s="49">
        <f>SUM(E30-'Standing data'!$D$11)*'Standing data'!$D$13</f>
        <v>7192.1460000000006</v>
      </c>
      <c r="J30" s="21">
        <f>INT(E30*'Standing data'!$B$4)</f>
        <v>12850</v>
      </c>
      <c r="K30" s="49">
        <f>INT(E30*'Standing data'!$B$22)</f>
        <v>304</v>
      </c>
      <c r="L30" s="21">
        <f t="shared" si="0"/>
        <v>81251.146000000008</v>
      </c>
      <c r="M30" s="23"/>
      <c r="N30" s="49">
        <f>((E30-'Standing data'!$D$11)*'Standing data'!$D$13)</f>
        <v>7192.1460000000006</v>
      </c>
      <c r="O30" s="49">
        <f>INT(E30*'Standing data'!$B$22)</f>
        <v>304</v>
      </c>
      <c r="P30" s="50">
        <f t="shared" si="1"/>
        <v>68401.146000000008</v>
      </c>
    </row>
    <row r="31" spans="1:16" x14ac:dyDescent="0.25">
      <c r="A31" s="139">
        <v>49</v>
      </c>
      <c r="B31" s="135"/>
      <c r="C31" s="17"/>
      <c r="D31" s="1"/>
      <c r="E31" s="128">
        <v>59135</v>
      </c>
      <c r="F31" s="27"/>
      <c r="G31" s="23" t="s">
        <v>23</v>
      </c>
      <c r="H31" s="27"/>
      <c r="I31" s="49">
        <f>SUM(E31-'Standing data'!$D$11)*'Standing data'!$D$13</f>
        <v>6947.8860000000004</v>
      </c>
      <c r="J31" s="21">
        <f>INT(E31*'Standing data'!$B$4)</f>
        <v>12477</v>
      </c>
      <c r="K31" s="49">
        <f>INT(E31*'Standing data'!$B$22)</f>
        <v>295</v>
      </c>
      <c r="L31" s="21">
        <f t="shared" si="0"/>
        <v>78854.885999999999</v>
      </c>
      <c r="M31" s="23"/>
      <c r="N31" s="49">
        <f>((E31-'Standing data'!$D$11)*'Standing data'!$D$13)</f>
        <v>6947.8860000000004</v>
      </c>
      <c r="O31" s="49">
        <f>INT(E31*'Standing data'!$B$22)</f>
        <v>295</v>
      </c>
      <c r="P31" s="50">
        <f t="shared" si="1"/>
        <v>66377.885999999999</v>
      </c>
    </row>
    <row r="32" spans="1:16" x14ac:dyDescent="0.25">
      <c r="A32" s="140">
        <v>48</v>
      </c>
      <c r="B32" s="133"/>
      <c r="C32" s="136" t="s">
        <v>5</v>
      </c>
      <c r="D32" s="11"/>
      <c r="E32" s="128">
        <v>57697</v>
      </c>
      <c r="F32" s="29"/>
      <c r="G32" s="23" t="s">
        <v>23</v>
      </c>
      <c r="H32" s="29"/>
      <c r="I32" s="49">
        <f>SUM(E32-'Standing data'!$D$11)*'Standing data'!$D$13</f>
        <v>6749.4420000000009</v>
      </c>
      <c r="J32" s="21">
        <f>INT(E32*'Standing data'!$B$4)</f>
        <v>12174</v>
      </c>
      <c r="K32" s="49">
        <f>INT(E32*'Standing data'!$B$22)</f>
        <v>288</v>
      </c>
      <c r="L32" s="21">
        <f t="shared" si="0"/>
        <v>76908.44200000001</v>
      </c>
      <c r="M32" s="23"/>
      <c r="N32" s="49">
        <f>((E32-'Standing data'!$D$11)*'Standing data'!$D$13)</f>
        <v>6749.4420000000009</v>
      </c>
      <c r="O32" s="49">
        <f>INT(E32*'Standing data'!$B$22)</f>
        <v>288</v>
      </c>
      <c r="P32" s="50">
        <f t="shared" si="1"/>
        <v>64734.442000000003</v>
      </c>
    </row>
    <row r="33" spans="1:16" x14ac:dyDescent="0.25">
      <c r="A33" s="139">
        <v>47</v>
      </c>
      <c r="B33" s="133"/>
      <c r="C33" s="137"/>
      <c r="D33" s="1"/>
      <c r="E33" s="128">
        <v>55750</v>
      </c>
      <c r="F33" s="27"/>
      <c r="G33" s="23" t="s">
        <v>23</v>
      </c>
      <c r="H33" s="27"/>
      <c r="I33" s="49">
        <f>SUM(E33-'Standing data'!$D$11)*'Standing data'!$D$13</f>
        <v>6480.7560000000003</v>
      </c>
      <c r="J33" s="21">
        <f>INT(E33*'Standing data'!$B$4)</f>
        <v>11763</v>
      </c>
      <c r="K33" s="49">
        <f>INT(E33*'Standing data'!$B$22)</f>
        <v>278</v>
      </c>
      <c r="L33" s="21">
        <f t="shared" si="0"/>
        <v>74271.755999999994</v>
      </c>
      <c r="M33" s="23"/>
      <c r="N33" s="49">
        <f>((E33-'Standing data'!$D$11)*'Standing data'!$D$13)</f>
        <v>6480.7560000000003</v>
      </c>
      <c r="O33" s="49">
        <f>INT(E33*'Standing data'!$B$22)</f>
        <v>278</v>
      </c>
      <c r="P33" s="50">
        <f t="shared" si="1"/>
        <v>62508.756000000001</v>
      </c>
    </row>
    <row r="34" spans="1:16" x14ac:dyDescent="0.25">
      <c r="A34" s="139">
        <v>46</v>
      </c>
      <c r="B34" s="133"/>
      <c r="C34" s="5"/>
      <c r="D34" s="1"/>
      <c r="E34" s="128">
        <v>54131</v>
      </c>
      <c r="F34" s="27"/>
      <c r="G34" s="23" t="s">
        <v>23</v>
      </c>
      <c r="H34" s="27"/>
      <c r="I34" s="49">
        <f>SUM(E34-'Standing data'!$D$11)*'Standing data'!$D$13</f>
        <v>6257.3340000000007</v>
      </c>
      <c r="J34" s="21">
        <f>INT(E34*'Standing data'!$B$4)</f>
        <v>11421</v>
      </c>
      <c r="K34" s="49">
        <f>INT(E34*'Standing data'!$B$22)</f>
        <v>270</v>
      </c>
      <c r="L34" s="21">
        <f t="shared" si="0"/>
        <v>72079.334000000003</v>
      </c>
      <c r="M34" s="23"/>
      <c r="N34" s="49">
        <f>((E34-'Standing data'!$D$11)*'Standing data'!$D$13)</f>
        <v>6257.3340000000007</v>
      </c>
      <c r="O34" s="49">
        <f>INT(E34*'Standing data'!$B$22)</f>
        <v>270</v>
      </c>
      <c r="P34" s="50">
        <f t="shared" si="1"/>
        <v>60658.334000000003</v>
      </c>
    </row>
    <row r="35" spans="1:16" x14ac:dyDescent="0.25">
      <c r="A35" s="139">
        <v>45</v>
      </c>
      <c r="B35" s="133"/>
      <c r="C35" s="5"/>
      <c r="D35" s="1"/>
      <c r="E35" s="128">
        <v>52560</v>
      </c>
      <c r="F35" s="27"/>
      <c r="G35" s="23" t="s">
        <v>23</v>
      </c>
      <c r="H35" s="27"/>
      <c r="I35" s="49">
        <f>SUM(E35-'Standing data'!$D$11)*'Standing data'!$D$13</f>
        <v>6040.5360000000001</v>
      </c>
      <c r="J35" s="21">
        <f>INT(E35*'Standing data'!$B$4)</f>
        <v>11090</v>
      </c>
      <c r="K35" s="49">
        <f>INT(E35*'Standing data'!$B$22)</f>
        <v>262</v>
      </c>
      <c r="L35" s="21">
        <f t="shared" si="0"/>
        <v>69952.535999999993</v>
      </c>
      <c r="M35" s="23"/>
      <c r="N35" s="49">
        <f>((E35-'Standing data'!$D$11)*'Standing data'!$D$13)</f>
        <v>6040.5360000000001</v>
      </c>
      <c r="O35" s="49">
        <f>INT(E35*'Standing data'!$B$22)</f>
        <v>262</v>
      </c>
      <c r="P35" s="50">
        <f t="shared" si="1"/>
        <v>58862.536</v>
      </c>
    </row>
    <row r="36" spans="1:16" x14ac:dyDescent="0.25">
      <c r="A36" s="139">
        <v>44</v>
      </c>
      <c r="B36" s="14"/>
      <c r="C36" s="5"/>
      <c r="D36" s="1"/>
      <c r="E36" s="128">
        <v>51034</v>
      </c>
      <c r="F36" s="27"/>
      <c r="G36" s="23" t="s">
        <v>23</v>
      </c>
      <c r="H36" s="27"/>
      <c r="I36" s="49">
        <f>SUM(E36-'Standing data'!$D$11)*'Standing data'!$D$13</f>
        <v>5829.9480000000003</v>
      </c>
      <c r="J36" s="21">
        <f>INT(E36*'Standing data'!$B$4)</f>
        <v>10768</v>
      </c>
      <c r="K36" s="49">
        <f>INT(E36*'Standing data'!$B$22)</f>
        <v>255</v>
      </c>
      <c r="L36" s="21">
        <f t="shared" si="0"/>
        <v>67886.948000000004</v>
      </c>
      <c r="M36" s="23"/>
      <c r="N36" s="49">
        <f>((E36-'Standing data'!$D$11)*'Standing data'!$D$13)</f>
        <v>5829.9480000000003</v>
      </c>
      <c r="O36" s="49">
        <f>INT(E36*'Standing data'!$B$22)</f>
        <v>255</v>
      </c>
      <c r="P36" s="50">
        <f t="shared" si="1"/>
        <v>57118.948000000004</v>
      </c>
    </row>
    <row r="37" spans="1:16" x14ac:dyDescent="0.25">
      <c r="A37" s="139">
        <v>43</v>
      </c>
      <c r="B37" s="14"/>
      <c r="C37" s="5"/>
      <c r="D37" s="1"/>
      <c r="E37" s="128">
        <v>49553</v>
      </c>
      <c r="F37" s="27"/>
      <c r="G37" s="23" t="s">
        <v>23</v>
      </c>
      <c r="H37" s="27"/>
      <c r="I37" s="49">
        <f>SUM(E37-'Standing data'!$D$11)*'Standing data'!$D$13</f>
        <v>5625.5700000000006</v>
      </c>
      <c r="J37" s="21">
        <f>INT(E37*'Standing data'!$B$4)</f>
        <v>10455</v>
      </c>
      <c r="K37" s="49">
        <f>INT(E37*'Standing data'!$B$22)</f>
        <v>247</v>
      </c>
      <c r="L37" s="21">
        <f t="shared" si="0"/>
        <v>65880.570000000007</v>
      </c>
      <c r="M37" s="23"/>
      <c r="N37" s="49">
        <f>((E37-'Standing data'!$D$11)*'Standing data'!$D$13)</f>
        <v>5625.5700000000006</v>
      </c>
      <c r="O37" s="49">
        <f>INT(E37*'Standing data'!$B$22)</f>
        <v>247</v>
      </c>
      <c r="P37" s="50">
        <f t="shared" si="1"/>
        <v>55425.57</v>
      </c>
    </row>
    <row r="38" spans="1:16" x14ac:dyDescent="0.25">
      <c r="A38" s="139">
        <v>42</v>
      </c>
      <c r="B38" s="14"/>
      <c r="C38" s="5"/>
      <c r="D38" s="1"/>
      <c r="E38" s="128">
        <v>48114</v>
      </c>
      <c r="F38" s="27"/>
      <c r="G38" s="23" t="s">
        <v>23</v>
      </c>
      <c r="H38" s="27"/>
      <c r="I38" s="49">
        <f>SUM(E38-'Standing data'!$D$11)*'Standing data'!$D$13</f>
        <v>5426.9880000000003</v>
      </c>
      <c r="J38" s="21">
        <f>INT(E38*'Standing data'!$B$4)</f>
        <v>10152</v>
      </c>
      <c r="K38" s="49">
        <f>INT(E38*'Standing data'!$B$22)</f>
        <v>240</v>
      </c>
      <c r="L38" s="21">
        <f t="shared" si="0"/>
        <v>63932.987999999998</v>
      </c>
      <c r="M38" s="23"/>
      <c r="N38" s="49">
        <f>((E38-'Standing data'!$D$11)*'Standing data'!$D$13)</f>
        <v>5426.9880000000003</v>
      </c>
      <c r="O38" s="49">
        <f>INT(E38*'Standing data'!$B$22)</f>
        <v>240</v>
      </c>
      <c r="P38" s="50">
        <f t="shared" si="1"/>
        <v>53780.987999999998</v>
      </c>
    </row>
    <row r="39" spans="1:16" x14ac:dyDescent="0.25">
      <c r="A39" s="139">
        <v>41</v>
      </c>
      <c r="B39" s="14"/>
      <c r="C39" s="133"/>
      <c r="D39" s="1"/>
      <c r="E39" s="128">
        <v>46718</v>
      </c>
      <c r="F39" s="27"/>
      <c r="G39" s="23" t="s">
        <v>23</v>
      </c>
      <c r="H39" s="27"/>
      <c r="I39" s="49">
        <f>SUM(E39-'Standing data'!$D$11)*'Standing data'!$D$13</f>
        <v>5234.34</v>
      </c>
      <c r="J39" s="21">
        <f>INT(E39*'Standing data'!$B$4)</f>
        <v>9857</v>
      </c>
      <c r="K39" s="49">
        <f>INT(E39*'Standing data'!$B$22)</f>
        <v>233</v>
      </c>
      <c r="L39" s="21">
        <f t="shared" si="0"/>
        <v>62042.34</v>
      </c>
      <c r="M39" s="23"/>
      <c r="N39" s="49">
        <f>((E39-'Standing data'!$D$11)*'Standing data'!$D$13)</f>
        <v>5234.34</v>
      </c>
      <c r="O39" s="49">
        <f>INT(E39*'Standing data'!$B$22)</f>
        <v>233</v>
      </c>
      <c r="P39" s="50">
        <f t="shared" si="1"/>
        <v>52185.34</v>
      </c>
    </row>
    <row r="40" spans="1:16" x14ac:dyDescent="0.25">
      <c r="A40" s="139">
        <v>40</v>
      </c>
      <c r="B40" s="14"/>
      <c r="C40" s="133"/>
      <c r="D40" s="1"/>
      <c r="E40" s="128">
        <v>45361</v>
      </c>
      <c r="F40" s="27"/>
      <c r="G40" s="23" t="s">
        <v>23</v>
      </c>
      <c r="H40" s="27"/>
      <c r="I40" s="49">
        <f>SUM(E40-'Standing data'!$D$11)*'Standing data'!$D$13</f>
        <v>5047.0740000000005</v>
      </c>
      <c r="J40" s="21">
        <f>INT(E40*'Standing data'!$B$4)</f>
        <v>9571</v>
      </c>
      <c r="K40" s="49">
        <f>INT(E40*'Standing data'!$B$22)</f>
        <v>226</v>
      </c>
      <c r="L40" s="21">
        <f t="shared" si="0"/>
        <v>60205.074000000001</v>
      </c>
      <c r="M40" s="23"/>
      <c r="N40" s="49">
        <f>((E40-'Standing data'!$D$11)*'Standing data'!$D$13)</f>
        <v>5047.0740000000005</v>
      </c>
      <c r="O40" s="49">
        <f>INT(E40*'Standing data'!$B$22)</f>
        <v>226</v>
      </c>
      <c r="P40" s="50">
        <f t="shared" si="1"/>
        <v>50634.074000000001</v>
      </c>
    </row>
    <row r="41" spans="1:16" x14ac:dyDescent="0.25">
      <c r="A41" s="139">
        <v>39</v>
      </c>
      <c r="B41" s="16" t="s">
        <v>8</v>
      </c>
      <c r="C41" s="133"/>
      <c r="D41" s="1"/>
      <c r="E41" s="128">
        <v>44045</v>
      </c>
      <c r="F41" s="27"/>
      <c r="G41" s="23" t="s">
        <v>23</v>
      </c>
      <c r="H41" s="27"/>
      <c r="I41" s="49">
        <f>SUM(E41-'Standing data'!$D$11)*'Standing data'!$D$13</f>
        <v>4865.4660000000003</v>
      </c>
      <c r="J41" s="21">
        <f>INT(E41*'Standing data'!$B$4)</f>
        <v>9293</v>
      </c>
      <c r="K41" s="49">
        <f>INT(E41*'Standing data'!$B$22)</f>
        <v>220</v>
      </c>
      <c r="L41" s="21">
        <f t="shared" si="0"/>
        <v>58423.466</v>
      </c>
      <c r="M41" s="23"/>
      <c r="N41" s="49">
        <f>((E41-'Standing data'!$D$11)*'Standing data'!$D$13)</f>
        <v>4865.4660000000003</v>
      </c>
      <c r="O41" s="49">
        <f>INT(E41*'Standing data'!$B$22)</f>
        <v>220</v>
      </c>
      <c r="P41" s="50">
        <f t="shared" si="1"/>
        <v>49130.466</v>
      </c>
    </row>
    <row r="42" spans="1:16" x14ac:dyDescent="0.25">
      <c r="A42" s="139">
        <v>38</v>
      </c>
      <c r="B42" s="4"/>
      <c r="C42" s="133"/>
      <c r="D42" s="1"/>
      <c r="E42" s="128">
        <v>42792</v>
      </c>
      <c r="F42" s="27"/>
      <c r="G42" s="23" t="s">
        <v>23</v>
      </c>
      <c r="H42" s="27"/>
      <c r="I42" s="49">
        <f>SUM(E42-'Standing data'!$D$11)*'Standing data'!$D$13</f>
        <v>4692.5520000000006</v>
      </c>
      <c r="J42" s="21">
        <f>INT(E42*'Standing data'!$B$4)</f>
        <v>9029</v>
      </c>
      <c r="K42" s="49">
        <f>INT(E42*'Standing data'!$B$22)</f>
        <v>213</v>
      </c>
      <c r="L42" s="21">
        <f t="shared" si="0"/>
        <v>56726.552000000003</v>
      </c>
      <c r="M42" s="23"/>
      <c r="N42" s="49">
        <f>((E42-'Standing data'!$D$11)*'Standing data'!$D$13)</f>
        <v>4692.5520000000006</v>
      </c>
      <c r="O42" s="49">
        <f>INT(E42*'Standing data'!$B$22)</f>
        <v>213</v>
      </c>
      <c r="P42" s="50">
        <f t="shared" si="1"/>
        <v>47697.552000000003</v>
      </c>
    </row>
    <row r="43" spans="1:16" x14ac:dyDescent="0.25">
      <c r="A43" s="139">
        <v>37</v>
      </c>
      <c r="B43" s="4"/>
      <c r="C43" s="133"/>
      <c r="D43" s="1"/>
      <c r="E43" s="128">
        <v>41526</v>
      </c>
      <c r="F43" s="27"/>
      <c r="G43" s="23" t="s">
        <v>23</v>
      </c>
      <c r="H43" s="27"/>
      <c r="I43" s="49">
        <f>SUM(E43-'Standing data'!$D$11)*'Standing data'!$D$13</f>
        <v>4517.8440000000001</v>
      </c>
      <c r="J43" s="21">
        <f>INT(E43*'Standing data'!$B$4)</f>
        <v>8761</v>
      </c>
      <c r="K43" s="49">
        <f>INT(E43*'Standing data'!$B$22)</f>
        <v>207</v>
      </c>
      <c r="L43" s="21">
        <f t="shared" si="0"/>
        <v>55011.843999999997</v>
      </c>
      <c r="M43" s="23"/>
      <c r="N43" s="49">
        <f>((E43-'Standing data'!$D$11)*'Standing data'!$D$13)</f>
        <v>4517.8440000000001</v>
      </c>
      <c r="O43" s="49">
        <f>INT(E43*'Standing data'!$B$22)</f>
        <v>207</v>
      </c>
      <c r="P43" s="50">
        <f t="shared" si="1"/>
        <v>46250.843999999997</v>
      </c>
    </row>
    <row r="44" spans="1:16" x14ac:dyDescent="0.25">
      <c r="A44" s="139">
        <v>36</v>
      </c>
      <c r="B44" s="4"/>
      <c r="C44" s="14"/>
      <c r="D44" s="1"/>
      <c r="E44" s="128">
        <v>40322</v>
      </c>
      <c r="F44" s="27"/>
      <c r="G44" s="23" t="s">
        <v>23</v>
      </c>
      <c r="H44" s="27"/>
      <c r="I44" s="49">
        <f>SUM(E44-'Standing data'!$D$11)*'Standing data'!$D$13</f>
        <v>4351.692</v>
      </c>
      <c r="J44" s="21">
        <f>INT(E44*'Standing data'!$B$4)</f>
        <v>8507</v>
      </c>
      <c r="K44" s="49">
        <f>INT(E44*'Standing data'!$B$22)</f>
        <v>201</v>
      </c>
      <c r="L44" s="21">
        <f t="shared" si="0"/>
        <v>53381.692000000003</v>
      </c>
      <c r="M44" s="23"/>
      <c r="N44" s="49">
        <f>((E44-'Standing data'!$D$11)*'Standing data'!$D$13)</f>
        <v>4351.692</v>
      </c>
      <c r="O44" s="49">
        <f>INT(E44*'Standing data'!$B$22)</f>
        <v>201</v>
      </c>
      <c r="P44" s="50">
        <f t="shared" si="1"/>
        <v>44874.692000000003</v>
      </c>
    </row>
    <row r="45" spans="1:16" x14ac:dyDescent="0.25">
      <c r="A45" s="139">
        <v>35</v>
      </c>
      <c r="B45" s="4"/>
      <c r="C45" s="14"/>
      <c r="D45" s="1"/>
      <c r="E45" s="128">
        <v>39152</v>
      </c>
      <c r="F45" s="27"/>
      <c r="G45" s="23" t="s">
        <v>23</v>
      </c>
      <c r="H45" s="27"/>
      <c r="I45" s="49">
        <f>SUM(E45-'Standing data'!$D$11)*'Standing data'!$D$13</f>
        <v>4190.232</v>
      </c>
      <c r="J45" s="21">
        <f>INT(E45*'Standing data'!$B$4)</f>
        <v>8261</v>
      </c>
      <c r="K45" s="49">
        <f>INT(E45*'Standing data'!$B$22)</f>
        <v>195</v>
      </c>
      <c r="L45" s="21">
        <f t="shared" si="0"/>
        <v>51798.232000000004</v>
      </c>
      <c r="M45" s="23"/>
      <c r="N45" s="49">
        <f>((E45-'Standing data'!$D$11)*'Standing data'!$D$13)</f>
        <v>4190.232</v>
      </c>
      <c r="O45" s="49">
        <f>INT(E45*'Standing data'!$B$22)</f>
        <v>195</v>
      </c>
      <c r="P45" s="50">
        <f t="shared" si="1"/>
        <v>43537.232000000004</v>
      </c>
    </row>
    <row r="46" spans="1:16" x14ac:dyDescent="0.25">
      <c r="A46" s="139">
        <v>34</v>
      </c>
      <c r="B46" s="4"/>
      <c r="C46" s="14"/>
      <c r="D46" s="1"/>
      <c r="E46" s="128">
        <v>38017</v>
      </c>
      <c r="F46" s="27"/>
      <c r="G46" s="23" t="s">
        <v>23</v>
      </c>
      <c r="H46" s="27"/>
      <c r="I46" s="49">
        <f>SUM(E46-'Standing data'!$D$11)*'Standing data'!$D$13</f>
        <v>4033.6020000000003</v>
      </c>
      <c r="J46" s="21">
        <f>INT(E46*'Standing data'!$B$4)</f>
        <v>8021</v>
      </c>
      <c r="K46" s="49">
        <f>INT(E46*'Standing data'!$B$22)</f>
        <v>190</v>
      </c>
      <c r="L46" s="21">
        <f t="shared" si="0"/>
        <v>50261.601999999999</v>
      </c>
      <c r="M46" s="23"/>
      <c r="N46" s="49">
        <f>((E46-'Standing data'!$D$11)*'Standing data'!$D$13)</f>
        <v>4033.6020000000003</v>
      </c>
      <c r="O46" s="49">
        <f>INT(E46*'Standing data'!$B$22)</f>
        <v>190</v>
      </c>
      <c r="P46" s="50">
        <f t="shared" si="1"/>
        <v>42240.601999999999</v>
      </c>
    </row>
    <row r="47" spans="1:16" x14ac:dyDescent="0.25">
      <c r="A47" s="139">
        <v>33</v>
      </c>
      <c r="B47" s="4"/>
      <c r="C47" s="14"/>
      <c r="D47" s="1"/>
      <c r="E47" s="128">
        <v>36914</v>
      </c>
      <c r="F47" s="27"/>
      <c r="G47" s="23" t="s">
        <v>23</v>
      </c>
      <c r="H47" s="27"/>
      <c r="I47" s="49">
        <f>SUM(E47-'Standing data'!$D$11)*'Standing data'!$D$13</f>
        <v>3881.3880000000004</v>
      </c>
      <c r="J47" s="21">
        <f>INT(E47*'Standing data'!$B$4)</f>
        <v>7788</v>
      </c>
      <c r="K47" s="49">
        <f>INT(E47*'Standing data'!$B$22)</f>
        <v>184</v>
      </c>
      <c r="L47" s="21">
        <f t="shared" si="0"/>
        <v>48767.387999999999</v>
      </c>
      <c r="M47" s="23"/>
      <c r="N47" s="49">
        <f>((E47-'Standing data'!$D$11)*'Standing data'!$D$13)</f>
        <v>3881.3880000000004</v>
      </c>
      <c r="O47" s="49">
        <f>INT(E47*'Standing data'!$B$22)</f>
        <v>184</v>
      </c>
      <c r="P47" s="50">
        <f t="shared" si="1"/>
        <v>40979.387999999999</v>
      </c>
    </row>
    <row r="48" spans="1:16" x14ac:dyDescent="0.25">
      <c r="A48" s="139">
        <v>32</v>
      </c>
      <c r="B48" s="4"/>
      <c r="C48" s="16" t="s">
        <v>7</v>
      </c>
      <c r="D48" s="1"/>
      <c r="E48" s="128">
        <v>35845</v>
      </c>
      <c r="F48" s="27"/>
      <c r="G48" s="23" t="s">
        <v>23</v>
      </c>
      <c r="H48" s="27"/>
      <c r="I48" s="49">
        <f>SUM(E48-'Standing data'!$D$11)*'Standing data'!$D$13</f>
        <v>3733.8660000000004</v>
      </c>
      <c r="J48" s="21">
        <f>INT(E48*'Standing data'!$B$4)</f>
        <v>7563</v>
      </c>
      <c r="K48" s="49">
        <f>INT(E48*'Standing data'!$B$22)</f>
        <v>179</v>
      </c>
      <c r="L48" s="21">
        <f t="shared" si="0"/>
        <v>47320.866000000002</v>
      </c>
      <c r="M48" s="23"/>
      <c r="N48" s="49">
        <f>((E48-'Standing data'!$D$11)*'Standing data'!$D$13)</f>
        <v>3733.8660000000004</v>
      </c>
      <c r="O48" s="49">
        <f>INT(E48*'Standing data'!$B$22)</f>
        <v>179</v>
      </c>
      <c r="P48" s="50">
        <f t="shared" si="1"/>
        <v>39757.866000000002</v>
      </c>
    </row>
    <row r="49" spans="1:16" ht="12.75" customHeight="1" x14ac:dyDescent="0.25">
      <c r="A49" s="139">
        <v>31</v>
      </c>
      <c r="B49" s="133"/>
      <c r="C49" s="5"/>
      <c r="D49" s="1"/>
      <c r="E49" s="128">
        <v>34804</v>
      </c>
      <c r="F49" s="27"/>
      <c r="G49" s="23" t="s">
        <v>23</v>
      </c>
      <c r="H49" s="27"/>
      <c r="I49" s="49">
        <f>SUM(E49-'Standing data'!$D$11)*'Standing data'!$D$13</f>
        <v>3590.2080000000001</v>
      </c>
      <c r="J49" s="21">
        <f>INT(E49*'Standing data'!$B$4)</f>
        <v>7343</v>
      </c>
      <c r="K49" s="49">
        <f>INT(E49*'Standing data'!$B$22)</f>
        <v>174</v>
      </c>
      <c r="L49" s="21">
        <f t="shared" si="0"/>
        <v>45911.207999999999</v>
      </c>
      <c r="M49" s="23"/>
      <c r="N49" s="49">
        <f>((E49-'Standing data'!$D$11)*'Standing data'!$D$13)</f>
        <v>3590.2080000000001</v>
      </c>
      <c r="O49" s="49">
        <f>INT(E49*'Standing data'!$B$22)</f>
        <v>174</v>
      </c>
      <c r="P49" s="50">
        <f t="shared" si="1"/>
        <v>38568.207999999999</v>
      </c>
    </row>
    <row r="50" spans="1:16" x14ac:dyDescent="0.25">
      <c r="A50" s="139">
        <v>30</v>
      </c>
      <c r="B50" s="133"/>
      <c r="C50" s="5"/>
      <c r="D50" s="1"/>
      <c r="E50" s="128">
        <v>33797</v>
      </c>
      <c r="F50" s="27"/>
      <c r="G50" s="23" t="s">
        <v>23</v>
      </c>
      <c r="H50" s="27"/>
      <c r="I50" s="49">
        <f>SUM(E50-'Standing data'!$D$11)*'Standing data'!$D$13</f>
        <v>3451.2420000000002</v>
      </c>
      <c r="J50" s="21">
        <f>INT(E50*'Standing data'!$B$4)</f>
        <v>7131</v>
      </c>
      <c r="K50" s="49">
        <f>INT(E50*'Standing data'!$B$22)</f>
        <v>168</v>
      </c>
      <c r="L50" s="21">
        <f t="shared" si="0"/>
        <v>44547.241999999998</v>
      </c>
      <c r="M50" s="23"/>
      <c r="N50" s="49">
        <f>((E50-'Standing data'!$D$11)*'Standing data'!$D$13)</f>
        <v>3451.2420000000002</v>
      </c>
      <c r="O50" s="49">
        <f>INT(E50*'Standing data'!$B$22)</f>
        <v>168</v>
      </c>
      <c r="P50" s="50">
        <f t="shared" si="1"/>
        <v>37416.241999999998</v>
      </c>
    </row>
    <row r="51" spans="1:16" x14ac:dyDescent="0.25">
      <c r="A51" s="139">
        <v>29</v>
      </c>
      <c r="B51" s="133"/>
      <c r="C51" s="5"/>
      <c r="D51" s="1"/>
      <c r="E51" s="128">
        <v>32817</v>
      </c>
      <c r="F51" s="27"/>
      <c r="G51" s="23" t="s">
        <v>23</v>
      </c>
      <c r="H51" s="27"/>
      <c r="I51" s="49">
        <f>SUM(E51-'Standing data'!$D$11)*'Standing data'!$D$13</f>
        <v>3316.0020000000004</v>
      </c>
      <c r="J51" s="21">
        <f>INT(E51*'Standing data'!$B$4)</f>
        <v>6924</v>
      </c>
      <c r="K51" s="49">
        <f>INT(E51*'Standing data'!$B$22)</f>
        <v>164</v>
      </c>
      <c r="L51" s="21">
        <f t="shared" si="0"/>
        <v>43221.002</v>
      </c>
      <c r="M51" s="23"/>
      <c r="N51" s="49">
        <f>((E51-'Standing data'!$D$11)*'Standing data'!$D$13)</f>
        <v>3316.0020000000004</v>
      </c>
      <c r="O51" s="49">
        <f>INT(E51*'Standing data'!$B$22)</f>
        <v>164</v>
      </c>
      <c r="P51" s="50">
        <f t="shared" si="1"/>
        <v>36297.002</v>
      </c>
    </row>
    <row r="52" spans="1:16" x14ac:dyDescent="0.25">
      <c r="A52" s="139">
        <v>28</v>
      </c>
      <c r="B52" s="133"/>
      <c r="C52" s="5"/>
      <c r="D52" s="1"/>
      <c r="E52" s="128">
        <v>31866</v>
      </c>
      <c r="F52" s="27"/>
      <c r="G52" s="23" t="s">
        <v>23</v>
      </c>
      <c r="H52" s="27"/>
      <c r="I52" s="49">
        <f>SUM(E52-'Standing data'!$D$11)*'Standing data'!$D$13</f>
        <v>3184.7640000000001</v>
      </c>
      <c r="J52" s="21">
        <f>INT(E52*'Standing data'!$B$4)</f>
        <v>6723</v>
      </c>
      <c r="K52" s="49">
        <f>INT(E52*'Standing data'!$B$22)</f>
        <v>159</v>
      </c>
      <c r="L52" s="21">
        <f t="shared" si="0"/>
        <v>41932.764000000003</v>
      </c>
      <c r="M52" s="23"/>
      <c r="N52" s="49">
        <f>((E52-'Standing data'!$D$11)*'Standing data'!$D$13)</f>
        <v>3184.7640000000001</v>
      </c>
      <c r="O52" s="49">
        <f>INT(E52*'Standing data'!$B$22)</f>
        <v>159</v>
      </c>
      <c r="P52" s="50">
        <f t="shared" si="1"/>
        <v>35209.764000000003</v>
      </c>
    </row>
    <row r="53" spans="1:16" x14ac:dyDescent="0.25">
      <c r="A53" s="139">
        <v>27</v>
      </c>
      <c r="B53" s="14"/>
      <c r="C53" s="5"/>
      <c r="D53" s="1"/>
      <c r="E53" s="128">
        <v>30942</v>
      </c>
      <c r="F53" s="27"/>
      <c r="G53" s="23" t="s">
        <v>23</v>
      </c>
      <c r="H53" s="27"/>
      <c r="I53" s="49">
        <f>SUM(E53-'Standing data'!$D$11)*'Standing data'!$D$13</f>
        <v>3057.2520000000004</v>
      </c>
      <c r="J53" s="21">
        <f>INT(E53*'Standing data'!$B$4)</f>
        <v>6528</v>
      </c>
      <c r="K53" s="49">
        <f>INT(E53*'Standing data'!$B$22)</f>
        <v>154</v>
      </c>
      <c r="L53" s="21">
        <f t="shared" si="0"/>
        <v>40681.252</v>
      </c>
      <c r="M53" s="23"/>
      <c r="N53" s="49">
        <f>((E53-'Standing data'!$D$11)*'Standing data'!$D$13)</f>
        <v>3057.2520000000004</v>
      </c>
      <c r="O53" s="49">
        <f>INT(E53*'Standing data'!$B$22)</f>
        <v>154</v>
      </c>
      <c r="P53" s="50">
        <f t="shared" si="1"/>
        <v>34153.252</v>
      </c>
    </row>
    <row r="54" spans="1:16" x14ac:dyDescent="0.25">
      <c r="A54" s="139">
        <v>26</v>
      </c>
      <c r="B54" s="14"/>
      <c r="C54" s="151"/>
      <c r="D54" s="152"/>
      <c r="E54" s="128">
        <v>30046</v>
      </c>
      <c r="F54" s="27"/>
      <c r="G54" s="23" t="s">
        <v>23</v>
      </c>
      <c r="H54" s="27"/>
      <c r="I54" s="49">
        <f>SUM(E54-'Standing data'!$D$11)*'Standing data'!$D$13</f>
        <v>2933.6040000000003</v>
      </c>
      <c r="J54" s="21">
        <f>INT(E54*'Standing data'!$B$4)</f>
        <v>6339</v>
      </c>
      <c r="K54" s="49">
        <f>INT(E54*'Standing data'!$B$22)</f>
        <v>150</v>
      </c>
      <c r="L54" s="21">
        <f t="shared" si="0"/>
        <v>39468.603999999999</v>
      </c>
      <c r="M54" s="23"/>
      <c r="N54" s="49">
        <f>((E54-'Standing data'!$D$11)*'Standing data'!$D$13)</f>
        <v>2933.6040000000003</v>
      </c>
      <c r="O54" s="49">
        <f>INT(E54*'Standing data'!$B$22)</f>
        <v>150</v>
      </c>
      <c r="P54" s="50">
        <f t="shared" si="1"/>
        <v>33129.603999999999</v>
      </c>
    </row>
    <row r="55" spans="1:16" x14ac:dyDescent="0.25">
      <c r="A55" s="140">
        <v>25</v>
      </c>
      <c r="B55" s="15"/>
      <c r="C55" s="151"/>
      <c r="D55" s="153"/>
      <c r="E55" s="128">
        <v>29176</v>
      </c>
      <c r="F55" s="29"/>
      <c r="G55" s="23" t="s">
        <v>23</v>
      </c>
      <c r="H55" s="29"/>
      <c r="I55" s="49">
        <f>SUM(E55-'Standing data'!$D$11)*'Standing data'!$D$13</f>
        <v>2813.5440000000003</v>
      </c>
      <c r="J55" s="21">
        <f>INT(E55*'Standing data'!$B$4)</f>
        <v>6156</v>
      </c>
      <c r="K55" s="49">
        <f>INT(E55*'Standing data'!$B$22)</f>
        <v>145</v>
      </c>
      <c r="L55" s="21">
        <f t="shared" si="0"/>
        <v>38290.544000000002</v>
      </c>
      <c r="M55" s="23"/>
      <c r="N55" s="49">
        <f>((E55-'Standing data'!$D$11)*'Standing data'!$D$13)</f>
        <v>2813.5440000000003</v>
      </c>
      <c r="O55" s="49">
        <f>INT(E55*'Standing data'!$B$22)</f>
        <v>145</v>
      </c>
      <c r="P55" s="50">
        <f t="shared" si="1"/>
        <v>32134.544000000002</v>
      </c>
    </row>
    <row r="56" spans="1:16" x14ac:dyDescent="0.25">
      <c r="A56" s="139">
        <v>24</v>
      </c>
      <c r="B56" s="14"/>
      <c r="C56" s="151"/>
      <c r="D56" s="152"/>
      <c r="E56" s="128">
        <v>28331</v>
      </c>
      <c r="F56" s="27"/>
      <c r="G56" s="23" t="s">
        <v>23</v>
      </c>
      <c r="H56" s="27"/>
      <c r="I56" s="49">
        <f>SUM(E56-'Standing data'!$D$11)*'Standing data'!$D$13</f>
        <v>2696.9340000000002</v>
      </c>
      <c r="J56" s="21">
        <f>INT(E56*'Standing data'!$B$4)</f>
        <v>5977</v>
      </c>
      <c r="K56" s="49">
        <f>INT(E56*'Standing data'!$B$22)</f>
        <v>141</v>
      </c>
      <c r="L56" s="21">
        <f t="shared" si="0"/>
        <v>37145.934000000001</v>
      </c>
      <c r="M56" s="23"/>
      <c r="N56" s="49">
        <f>((E56-'Standing data'!$D$11)*'Standing data'!$D$13)</f>
        <v>2696.9340000000002</v>
      </c>
      <c r="O56" s="49">
        <f>INT(E56*'Standing data'!$B$22)</f>
        <v>141</v>
      </c>
      <c r="P56" s="50">
        <f t="shared" si="1"/>
        <v>31168.934000000001</v>
      </c>
    </row>
    <row r="57" spans="1:16" x14ac:dyDescent="0.25">
      <c r="A57" s="139">
        <v>23</v>
      </c>
      <c r="B57" s="16" t="s">
        <v>6</v>
      </c>
      <c r="C57" s="6"/>
      <c r="D57" s="1"/>
      <c r="E57" s="128">
        <v>27511</v>
      </c>
      <c r="F57" s="27"/>
      <c r="G57" s="23" t="s">
        <v>23</v>
      </c>
      <c r="H57" s="27"/>
      <c r="I57" s="49">
        <f>SUM(E57-'Standing data'!$D$11)*'Standing data'!$D$13</f>
        <v>2583.7740000000003</v>
      </c>
      <c r="J57" s="21">
        <f>INT(E57*'Standing data'!$B$4)</f>
        <v>5804</v>
      </c>
      <c r="K57" s="49">
        <f>INT(E57*'Standing data'!$B$22)</f>
        <v>137</v>
      </c>
      <c r="L57" s="21">
        <f t="shared" si="0"/>
        <v>36035.774000000005</v>
      </c>
      <c r="M57" s="23"/>
      <c r="N57" s="49">
        <f>((E57-'Standing data'!$D$11)*'Standing data'!$D$13)</f>
        <v>2583.7740000000003</v>
      </c>
      <c r="O57" s="49">
        <f>INT(E57*'Standing data'!$B$22)</f>
        <v>137</v>
      </c>
      <c r="P57" s="50">
        <f t="shared" si="1"/>
        <v>30231.774000000001</v>
      </c>
    </row>
    <row r="58" spans="1:16" x14ac:dyDescent="0.25">
      <c r="A58" s="139">
        <v>22</v>
      </c>
      <c r="B58" s="6"/>
      <c r="C58" s="133"/>
      <c r="D58" s="1"/>
      <c r="E58" s="128">
        <v>26715</v>
      </c>
      <c r="F58" s="27"/>
      <c r="G58" s="126" t="s">
        <v>105</v>
      </c>
      <c r="H58" s="27"/>
      <c r="I58" s="49">
        <f>SUM(E58-'Standing data'!$D$11)*'Standing data'!$D$13</f>
        <v>2473.9260000000004</v>
      </c>
      <c r="J58" s="28">
        <f>INT(E58*'Standing data'!$B$5)</f>
        <v>6010</v>
      </c>
      <c r="K58" s="49">
        <f>INT(E58*'Standing data'!$B$22)</f>
        <v>133</v>
      </c>
      <c r="L58" s="21">
        <f t="shared" si="0"/>
        <v>35331.925999999999</v>
      </c>
      <c r="M58" s="23"/>
      <c r="N58" s="49">
        <f>((E58-'Standing data'!$D$11)*'Standing data'!$D$13)</f>
        <v>2473.9260000000004</v>
      </c>
      <c r="O58" s="49">
        <f>INT(E58*'Standing data'!$B$22)</f>
        <v>133</v>
      </c>
      <c r="P58" s="50">
        <f t="shared" si="1"/>
        <v>29321.925999999999</v>
      </c>
    </row>
    <row r="59" spans="1:16" x14ac:dyDescent="0.25">
      <c r="A59" s="139">
        <v>21</v>
      </c>
      <c r="B59" s="6"/>
      <c r="C59" s="133"/>
      <c r="D59" s="1"/>
      <c r="E59" s="128">
        <v>25941</v>
      </c>
      <c r="F59" s="27"/>
      <c r="G59" s="126" t="s">
        <v>105</v>
      </c>
      <c r="H59" s="27"/>
      <c r="I59" s="49">
        <f>SUM(E59-'Standing data'!$D$11)*'Standing data'!$D$13</f>
        <v>2367.114</v>
      </c>
      <c r="J59" s="28">
        <f>INT(E59*'Standing data'!$B$5)</f>
        <v>5836</v>
      </c>
      <c r="K59" s="49">
        <f>INT(E59*'Standing data'!$B$22)</f>
        <v>129</v>
      </c>
      <c r="L59" s="21">
        <f t="shared" si="0"/>
        <v>34273.114000000001</v>
      </c>
      <c r="M59" s="23"/>
      <c r="N59" s="49">
        <f>((E59-'Standing data'!$D$11)*'Standing data'!$D$13)</f>
        <v>2367.114</v>
      </c>
      <c r="O59" s="49">
        <f>INT(E59*'Standing data'!$B$22)</f>
        <v>129</v>
      </c>
      <c r="P59" s="50">
        <f t="shared" si="1"/>
        <v>28437.114000000001</v>
      </c>
    </row>
    <row r="60" spans="1:16" x14ac:dyDescent="0.25">
      <c r="A60" s="139">
        <v>20</v>
      </c>
      <c r="B60" s="6"/>
      <c r="C60" s="133"/>
      <c r="D60" s="1"/>
      <c r="E60" s="128">
        <v>25217</v>
      </c>
      <c r="F60" s="27"/>
      <c r="G60" s="126" t="s">
        <v>105</v>
      </c>
      <c r="H60" s="27"/>
      <c r="I60" s="49">
        <f>SUM(E60-'Standing data'!$D$11)*'Standing data'!$D$13</f>
        <v>2267.2020000000002</v>
      </c>
      <c r="J60" s="28">
        <f>INT(E60*'Standing data'!$B$5)</f>
        <v>5673</v>
      </c>
      <c r="K60" s="49">
        <f>INT(E60*'Standing data'!$B$22)</f>
        <v>126</v>
      </c>
      <c r="L60" s="21">
        <f t="shared" si="0"/>
        <v>33283.202000000005</v>
      </c>
      <c r="M60" s="23"/>
      <c r="N60" s="49">
        <f>((E60-'Standing data'!$D$11)*'Standing data'!$D$13)</f>
        <v>2267.2020000000002</v>
      </c>
      <c r="O60" s="49">
        <f>INT(E60*'Standing data'!$B$22)</f>
        <v>126</v>
      </c>
      <c r="P60" s="50">
        <f t="shared" si="1"/>
        <v>27610.202000000001</v>
      </c>
    </row>
    <row r="61" spans="1:16" x14ac:dyDescent="0.25">
      <c r="A61" s="139">
        <v>19</v>
      </c>
      <c r="B61" s="6"/>
      <c r="C61" s="12"/>
      <c r="D61" s="1"/>
      <c r="E61" s="128">
        <v>24461</v>
      </c>
      <c r="F61" s="27"/>
      <c r="G61" s="126" t="s">
        <v>105</v>
      </c>
      <c r="H61" s="27"/>
      <c r="I61" s="49">
        <f>SUM(E61-'Standing data'!$D$11)*'Standing data'!$D$13</f>
        <v>2162.8740000000003</v>
      </c>
      <c r="J61" s="28">
        <f>INT(E61*'Standing data'!$B$5)</f>
        <v>5503</v>
      </c>
      <c r="K61" s="49">
        <f>INT(E61*'Standing data'!$B$22)</f>
        <v>122</v>
      </c>
      <c r="L61" s="21">
        <f t="shared" si="0"/>
        <v>32248.874</v>
      </c>
      <c r="M61" s="23"/>
      <c r="N61" s="49">
        <f>((E61-'Standing data'!$D$11)*'Standing data'!$D$13)</f>
        <v>2162.8740000000003</v>
      </c>
      <c r="O61" s="49">
        <f>INT(E61*'Standing data'!$B$22)</f>
        <v>122</v>
      </c>
      <c r="P61" s="50">
        <f t="shared" si="1"/>
        <v>26745.874</v>
      </c>
    </row>
    <row r="62" spans="1:16" x14ac:dyDescent="0.25">
      <c r="A62" s="139">
        <v>18</v>
      </c>
      <c r="B62" s="7"/>
      <c r="C62" s="14"/>
      <c r="D62" s="1"/>
      <c r="E62" s="128">
        <v>23754</v>
      </c>
      <c r="F62" s="27"/>
      <c r="G62" s="126" t="s">
        <v>105</v>
      </c>
      <c r="H62" s="27"/>
      <c r="I62" s="49">
        <f>SUM(E62-'Standing data'!$D$11)*'Standing data'!$D$13</f>
        <v>2065.308</v>
      </c>
      <c r="J62" s="28">
        <f>INT(E62*'Standing data'!$B$5)</f>
        <v>5344</v>
      </c>
      <c r="K62" s="49">
        <f>INT(E62*'Standing data'!$B$22)</f>
        <v>118</v>
      </c>
      <c r="L62" s="21">
        <f t="shared" si="0"/>
        <v>31281.308000000001</v>
      </c>
      <c r="M62" s="23"/>
      <c r="N62" s="49">
        <f>((E62-'Standing data'!$D$11)*'Standing data'!$D$13)</f>
        <v>2065.308</v>
      </c>
      <c r="O62" s="49">
        <f>INT(E62*'Standing data'!$B$22)</f>
        <v>118</v>
      </c>
      <c r="P62" s="50">
        <f t="shared" si="1"/>
        <v>25937.308000000001</v>
      </c>
    </row>
    <row r="63" spans="1:16" x14ac:dyDescent="0.25">
      <c r="A63" s="139">
        <v>17</v>
      </c>
      <c r="B63" s="7"/>
      <c r="C63" s="13"/>
      <c r="D63" s="1"/>
      <c r="E63" s="128">
        <v>23067</v>
      </c>
      <c r="F63" s="27"/>
      <c r="G63" s="126" t="s">
        <v>105</v>
      </c>
      <c r="H63" s="27"/>
      <c r="I63" s="49">
        <f>SUM(E63-'Standing data'!$D$11)*'Standing data'!$D$13</f>
        <v>1970.5020000000002</v>
      </c>
      <c r="J63" s="28">
        <f>INT(E63*'Standing data'!$B$5)</f>
        <v>5190</v>
      </c>
      <c r="K63" s="49">
        <f>INT(E63*'Standing data'!$B$22)</f>
        <v>115</v>
      </c>
      <c r="L63" s="21">
        <f t="shared" si="0"/>
        <v>30342.502</v>
      </c>
      <c r="M63" s="23"/>
      <c r="N63" s="49">
        <f>((E63-'Standing data'!$D$11)*'Standing data'!$D$13)</f>
        <v>1970.5020000000002</v>
      </c>
      <c r="O63" s="49">
        <f>INT(E63*'Standing data'!$B$22)</f>
        <v>115</v>
      </c>
      <c r="P63" s="50">
        <f t="shared" si="1"/>
        <v>25152.502</v>
      </c>
    </row>
    <row r="64" spans="1:16" x14ac:dyDescent="0.25">
      <c r="A64" s="139">
        <v>16</v>
      </c>
      <c r="B64" s="93"/>
      <c r="C64" s="13"/>
      <c r="D64" s="1"/>
      <c r="E64" s="128">
        <v>22417</v>
      </c>
      <c r="F64" s="27"/>
      <c r="G64" s="126" t="s">
        <v>105</v>
      </c>
      <c r="H64" s="27"/>
      <c r="I64" s="49">
        <f>SUM(E64-'Standing data'!$D$11)*'Standing data'!$D$13</f>
        <v>1880.8020000000001</v>
      </c>
      <c r="J64" s="28">
        <f>INT(E64*'Standing data'!$B$5)</f>
        <v>5043</v>
      </c>
      <c r="K64" s="49">
        <f>INT(E64*'Standing data'!$B$22)</f>
        <v>112</v>
      </c>
      <c r="L64" s="21">
        <f t="shared" si="0"/>
        <v>29452.802</v>
      </c>
      <c r="M64" s="23"/>
      <c r="N64" s="49">
        <f>((E64-'Standing data'!$D$11)*'Standing data'!$D$13)</f>
        <v>1880.8020000000001</v>
      </c>
      <c r="O64" s="49">
        <f>INT(E64*'Standing data'!$B$22)</f>
        <v>112</v>
      </c>
      <c r="P64" s="50">
        <f t="shared" si="1"/>
        <v>24409.802</v>
      </c>
    </row>
    <row r="65" spans="1:16" x14ac:dyDescent="0.25">
      <c r="A65" s="139">
        <v>15</v>
      </c>
      <c r="B65" s="93"/>
      <c r="C65" s="14"/>
      <c r="D65" s="1"/>
      <c r="E65" s="128">
        <v>21814</v>
      </c>
      <c r="F65" s="27"/>
      <c r="G65" s="126" t="s">
        <v>105</v>
      </c>
      <c r="H65" s="27"/>
      <c r="I65" s="49">
        <f>SUM(E65-'Standing data'!$D$11)*'Standing data'!$D$13</f>
        <v>1797.5880000000002</v>
      </c>
      <c r="J65" s="28">
        <f>INT(E65*'Standing data'!$B$5)</f>
        <v>4908</v>
      </c>
      <c r="K65" s="49">
        <f>INT(E65*'Standing data'!$B$22)</f>
        <v>109</v>
      </c>
      <c r="L65" s="21">
        <f t="shared" si="0"/>
        <v>28628.588</v>
      </c>
      <c r="M65" s="23"/>
      <c r="N65" s="49">
        <f>((E65-'Standing data'!$D$11)*'Standing data'!$D$13)</f>
        <v>1797.5880000000002</v>
      </c>
      <c r="O65" s="49">
        <f>INT(E65*'Standing data'!$B$22)</f>
        <v>109</v>
      </c>
      <c r="P65" s="50">
        <f t="shared" si="1"/>
        <v>23720.588</v>
      </c>
    </row>
    <row r="66" spans="1:16" x14ac:dyDescent="0.25">
      <c r="A66" s="139">
        <v>14</v>
      </c>
      <c r="B66" s="93"/>
      <c r="C66" s="13" t="s">
        <v>2</v>
      </c>
      <c r="D66" s="1"/>
      <c r="E66" s="128">
        <v>21236</v>
      </c>
      <c r="F66" s="27"/>
      <c r="G66" s="126" t="s">
        <v>105</v>
      </c>
      <c r="H66" s="27"/>
      <c r="I66" s="49">
        <f>SUM(E66-'Standing data'!$D$11)*'Standing data'!$D$13</f>
        <v>1717.8240000000001</v>
      </c>
      <c r="J66" s="28">
        <f>INT(E66*'Standing data'!$B$5)</f>
        <v>4778</v>
      </c>
      <c r="K66" s="49">
        <f>INT(E66*'Standing data'!$B$22)</f>
        <v>106</v>
      </c>
      <c r="L66" s="21">
        <f t="shared" si="0"/>
        <v>27837.824000000001</v>
      </c>
      <c r="M66" s="23"/>
      <c r="N66" s="49">
        <f>((E66-'Standing data'!$D$11)*'Standing data'!$D$13)</f>
        <v>1717.8240000000001</v>
      </c>
      <c r="O66" s="49">
        <f>INT(E66*'Standing data'!$B$22)</f>
        <v>106</v>
      </c>
      <c r="P66" s="50">
        <f t="shared" si="1"/>
        <v>23059.824000000001</v>
      </c>
    </row>
    <row r="67" spans="1:16" x14ac:dyDescent="0.25">
      <c r="A67" s="154"/>
      <c r="B67" s="94"/>
      <c r="C67" s="7"/>
      <c r="D67" s="152"/>
      <c r="E67" s="157"/>
      <c r="F67" s="155"/>
      <c r="G67" s="156"/>
      <c r="H67" s="155"/>
      <c r="I67" s="158"/>
      <c r="J67" s="51"/>
      <c r="K67" s="158"/>
      <c r="L67" s="52"/>
      <c r="M67" s="52"/>
      <c r="N67" s="158"/>
      <c r="O67" s="158"/>
      <c r="P67" s="52"/>
    </row>
    <row r="68" spans="1:16" x14ac:dyDescent="0.25">
      <c r="A68" s="141"/>
      <c r="B68" s="7"/>
      <c r="C68" s="7"/>
      <c r="D68" s="152"/>
      <c r="E68" s="157"/>
      <c r="F68" s="155"/>
      <c r="G68" s="156"/>
      <c r="H68" s="155"/>
      <c r="I68" s="158"/>
      <c r="J68" s="51"/>
      <c r="K68" s="158"/>
      <c r="L68" s="52"/>
      <c r="M68" s="52"/>
      <c r="N68" s="158"/>
      <c r="O68" s="158"/>
      <c r="P68" s="52"/>
    </row>
    <row r="69" spans="1:16" x14ac:dyDescent="0.25">
      <c r="A69" s="141"/>
      <c r="B69" s="7"/>
      <c r="C69" s="6"/>
      <c r="D69" s="152"/>
      <c r="E69" s="157"/>
      <c r="F69" s="155"/>
      <c r="G69" s="156"/>
      <c r="H69" s="155"/>
      <c r="I69" s="158"/>
      <c r="J69" s="51"/>
      <c r="K69" s="158"/>
      <c r="L69" s="52"/>
      <c r="M69" s="52"/>
      <c r="N69" s="158"/>
      <c r="O69" s="158"/>
      <c r="P69" s="52"/>
    </row>
    <row r="70" spans="1:16" x14ac:dyDescent="0.25">
      <c r="A70" s="139" t="s">
        <v>111</v>
      </c>
      <c r="B70" s="135"/>
      <c r="C70" s="7"/>
      <c r="D70" s="1"/>
      <c r="E70" s="128">
        <v>22417</v>
      </c>
      <c r="F70" s="27"/>
      <c r="G70" s="126" t="s">
        <v>105</v>
      </c>
      <c r="H70" s="27"/>
      <c r="I70" s="49">
        <f>SUM(E70-'Standing data'!$D$11)*'Standing data'!$D$13</f>
        <v>1880.8020000000001</v>
      </c>
      <c r="J70" s="28">
        <f>INT(E70*'Standing data'!$B$5)</f>
        <v>5043</v>
      </c>
      <c r="K70" s="49">
        <f>INT(E70*'Standing data'!$B$22)</f>
        <v>112</v>
      </c>
      <c r="L70" s="21">
        <f t="shared" si="0"/>
        <v>29452.802</v>
      </c>
      <c r="M70" s="23"/>
      <c r="N70" s="49">
        <f>((E70-'Standing data'!$D$11)*'Standing data'!$D$13)</f>
        <v>1880.8020000000001</v>
      </c>
      <c r="O70" s="49">
        <f>INT(E70*'Standing data'!$B$22)</f>
        <v>112</v>
      </c>
      <c r="P70" s="50">
        <f t="shared" si="1"/>
        <v>24409.802</v>
      </c>
    </row>
    <row r="71" spans="1:16" x14ac:dyDescent="0.25">
      <c r="A71" s="139" t="s">
        <v>112</v>
      </c>
      <c r="B71" s="135"/>
      <c r="C71" s="6"/>
      <c r="D71" s="1"/>
      <c r="E71" s="128">
        <v>21814</v>
      </c>
      <c r="F71" s="27"/>
      <c r="G71" s="126" t="s">
        <v>105</v>
      </c>
      <c r="H71" s="27"/>
      <c r="I71" s="49">
        <f>SUM(E71-'Standing data'!$D$11)*'Standing data'!$D$13</f>
        <v>1797.5880000000002</v>
      </c>
      <c r="J71" s="28">
        <f>INT(E71*'Standing data'!$B$5)</f>
        <v>4908</v>
      </c>
      <c r="K71" s="49">
        <f>INT(E71*'Standing data'!$B$22)</f>
        <v>109</v>
      </c>
      <c r="L71" s="21">
        <f t="shared" si="0"/>
        <v>28628.588</v>
      </c>
      <c r="M71" s="23"/>
      <c r="N71" s="49">
        <f>((E71-'Standing data'!$D$11)*'Standing data'!$D$13)</f>
        <v>1797.5880000000002</v>
      </c>
      <c r="O71" s="49">
        <f>INT(E71*'Standing data'!$B$22)</f>
        <v>109</v>
      </c>
      <c r="P71" s="50">
        <f t="shared" si="1"/>
        <v>23720.588</v>
      </c>
    </row>
    <row r="72" spans="1:16" x14ac:dyDescent="0.25">
      <c r="A72" s="139" t="s">
        <v>113</v>
      </c>
      <c r="B72" s="135"/>
      <c r="C72" s="6"/>
      <c r="D72" s="1"/>
      <c r="E72" s="128">
        <v>21236</v>
      </c>
      <c r="F72" s="27"/>
      <c r="G72" s="126" t="s">
        <v>105</v>
      </c>
      <c r="H72" s="27"/>
      <c r="I72" s="49">
        <f>SUM(E72-'Standing data'!$D$11)*'Standing data'!$D$13</f>
        <v>1717.8240000000001</v>
      </c>
      <c r="J72" s="28">
        <f>INT(E72*'Standing data'!$B$5)</f>
        <v>4778</v>
      </c>
      <c r="K72" s="49">
        <f>INT(E72*'Standing data'!$B$22)</f>
        <v>106</v>
      </c>
      <c r="L72" s="21">
        <f t="shared" si="0"/>
        <v>27837.824000000001</v>
      </c>
      <c r="M72" s="23"/>
      <c r="N72" s="49">
        <f>((E72-'Standing data'!$D$11)*'Standing data'!$D$13)</f>
        <v>1717.8240000000001</v>
      </c>
      <c r="O72" s="49">
        <f>INT(E72*'Standing data'!$B$22)</f>
        <v>106</v>
      </c>
      <c r="P72" s="50">
        <f t="shared" si="1"/>
        <v>23059.824000000001</v>
      </c>
    </row>
    <row r="73" spans="1:16" x14ac:dyDescent="0.25">
      <c r="A73" s="139" t="s">
        <v>114</v>
      </c>
      <c r="B73" s="133"/>
      <c r="C73" s="6"/>
      <c r="D73" s="1"/>
      <c r="E73" s="128">
        <v>20675</v>
      </c>
      <c r="F73" s="27"/>
      <c r="G73" s="126" t="s">
        <v>105</v>
      </c>
      <c r="H73" s="27"/>
      <c r="I73" s="49">
        <f>SUM(E73-'Standing data'!$D$11)*'Standing data'!$D$13</f>
        <v>1640.4060000000002</v>
      </c>
      <c r="J73" s="28">
        <f>INT(E73*'Standing data'!$B$5)</f>
        <v>4651</v>
      </c>
      <c r="K73" s="49">
        <f>INT(E73*'Standing data'!$B$22)</f>
        <v>103</v>
      </c>
      <c r="L73" s="21">
        <f t="shared" si="0"/>
        <v>27069.405999999999</v>
      </c>
      <c r="M73" s="23"/>
      <c r="N73" s="49">
        <f>((E73-'Standing data'!$D$11)*'Standing data'!$D$13)</f>
        <v>1640.4060000000002</v>
      </c>
      <c r="O73" s="49">
        <f>INT(E73*'Standing data'!$B$22)</f>
        <v>103</v>
      </c>
      <c r="P73" s="50">
        <f t="shared" si="1"/>
        <v>22418.405999999999</v>
      </c>
    </row>
    <row r="74" spans="1:16" x14ac:dyDescent="0.25">
      <c r="A74" s="139" t="s">
        <v>115</v>
      </c>
      <c r="B74" s="12"/>
      <c r="C74" s="6"/>
      <c r="D74" s="1"/>
      <c r="E74" s="128">
        <v>20130</v>
      </c>
      <c r="F74" s="27"/>
      <c r="G74" s="126" t="s">
        <v>105</v>
      </c>
      <c r="H74" s="27"/>
      <c r="I74" s="49">
        <f>SUM(E74-'Standing data'!$D$11)*'Standing data'!$D$13</f>
        <v>1565.1960000000001</v>
      </c>
      <c r="J74" s="28">
        <f>INT(E74*'Standing data'!$B$5)</f>
        <v>4529</v>
      </c>
      <c r="K74" s="49">
        <f>INT(E74*'Standing data'!$B$22)</f>
        <v>100</v>
      </c>
      <c r="L74" s="21">
        <f t="shared" ref="L74:L79" si="2">E74+I74+J74+K74</f>
        <v>26324.196</v>
      </c>
      <c r="M74" s="23"/>
      <c r="N74" s="49">
        <f>((E74-'Standing data'!$D$11)*'Standing data'!$D$13)</f>
        <v>1565.1960000000001</v>
      </c>
      <c r="O74" s="49">
        <f>INT(E74*'Standing data'!$B$22)</f>
        <v>100</v>
      </c>
      <c r="P74" s="50">
        <f t="shared" ref="P74:P79" si="3">E74+N74+O74</f>
        <v>21795.196</v>
      </c>
    </row>
    <row r="75" spans="1:16" x14ac:dyDescent="0.25">
      <c r="A75" s="139" t="s">
        <v>116</v>
      </c>
      <c r="B75" s="14"/>
      <c r="C75" s="7"/>
      <c r="D75" s="1"/>
      <c r="E75" s="128">
        <v>19612</v>
      </c>
      <c r="F75" s="27"/>
      <c r="G75" s="126" t="s">
        <v>105</v>
      </c>
      <c r="H75" s="27"/>
      <c r="I75" s="49">
        <f>SUM(E75-'Standing data'!$D$11)*'Standing data'!$D$13</f>
        <v>1493.7120000000002</v>
      </c>
      <c r="J75" s="28">
        <f>INT(E75*'Standing data'!$B$5)</f>
        <v>4412</v>
      </c>
      <c r="K75" s="49">
        <f>INT(E75*'Standing data'!$B$22)</f>
        <v>98</v>
      </c>
      <c r="L75" s="21">
        <f t="shared" si="2"/>
        <v>25615.712</v>
      </c>
      <c r="M75" s="23"/>
      <c r="N75" s="49">
        <f>((E75-'Standing data'!$D$11)*'Standing data'!$D$13)</f>
        <v>1493.7120000000002</v>
      </c>
      <c r="O75" s="49">
        <f>INT(E75*'Standing data'!$B$22)</f>
        <v>98</v>
      </c>
      <c r="P75" s="50">
        <f t="shared" si="3"/>
        <v>21203.712</v>
      </c>
    </row>
    <row r="76" spans="1:16" x14ac:dyDescent="0.25">
      <c r="A76" s="139" t="s">
        <v>117</v>
      </c>
      <c r="B76" s="12"/>
      <c r="C76" s="93"/>
      <c r="D76" s="1"/>
      <c r="E76" s="128">
        <v>19133</v>
      </c>
      <c r="F76" s="27"/>
      <c r="G76" s="126"/>
      <c r="H76" s="27"/>
      <c r="I76" s="49">
        <f>SUM(E76-'Standing data'!$D$11)*'Standing data'!$D$13</f>
        <v>1427.6100000000001</v>
      </c>
      <c r="J76" s="28">
        <f>INT(E76*'Standing data'!$B$5)</f>
        <v>4304</v>
      </c>
      <c r="K76" s="49">
        <f>INT(E76*'Standing data'!$B$22)</f>
        <v>95</v>
      </c>
      <c r="L76" s="21">
        <f t="shared" si="2"/>
        <v>24959.61</v>
      </c>
      <c r="M76" s="23"/>
      <c r="N76" s="49">
        <f>((E76-'Standing data'!$D$11)*'Standing data'!$D$13)</f>
        <v>1427.6100000000001</v>
      </c>
      <c r="O76" s="49">
        <f>INT(E76*'Standing data'!$B$22)</f>
        <v>95</v>
      </c>
      <c r="P76" s="50">
        <f t="shared" si="3"/>
        <v>20655.61</v>
      </c>
    </row>
    <row r="77" spans="1:16" x14ac:dyDescent="0.25">
      <c r="A77" s="139" t="s">
        <v>118</v>
      </c>
      <c r="B77" s="13" t="s">
        <v>3</v>
      </c>
      <c r="C77" s="93"/>
      <c r="D77" s="1"/>
      <c r="E77" s="128">
        <v>18812</v>
      </c>
      <c r="F77" s="27"/>
      <c r="G77" s="126"/>
      <c r="H77" s="27"/>
      <c r="I77" s="49">
        <f>SUM(E77-'Standing data'!$D$11)*'Standing data'!$D$13</f>
        <v>1383.3120000000001</v>
      </c>
      <c r="J77" s="28">
        <f>INT(E77*'Standing data'!$B$5)</f>
        <v>4232</v>
      </c>
      <c r="K77" s="49">
        <f>INT(E77*'Standing data'!$B$22)</f>
        <v>94</v>
      </c>
      <c r="L77" s="21">
        <f t="shared" si="2"/>
        <v>24521.312000000002</v>
      </c>
      <c r="M77" s="23"/>
      <c r="N77" s="49">
        <f>((E77-'Standing data'!$D$11)*'Standing data'!$D$13)</f>
        <v>1383.3120000000001</v>
      </c>
      <c r="O77" s="49">
        <f>INT(E77*'Standing data'!$B$22)</f>
        <v>94</v>
      </c>
      <c r="P77" s="50">
        <f t="shared" si="3"/>
        <v>20289.312000000002</v>
      </c>
    </row>
    <row r="78" spans="1:16" x14ac:dyDescent="0.25">
      <c r="A78" s="139" t="s">
        <v>119</v>
      </c>
      <c r="B78" s="6"/>
      <c r="C78" s="14"/>
      <c r="D78" s="1"/>
      <c r="E78" s="128">
        <v>17916</v>
      </c>
      <c r="F78" s="27"/>
      <c r="G78" s="126"/>
      <c r="H78" s="27"/>
      <c r="I78" s="49">
        <f>SUM(E78-'Standing data'!$D$11)*'Standing data'!$D$13</f>
        <v>1259.6640000000002</v>
      </c>
      <c r="J78" s="28">
        <f>INT(E78*'Standing data'!$B$5)</f>
        <v>4031</v>
      </c>
      <c r="K78" s="49">
        <f>INT(E78*'Standing data'!$B$22)</f>
        <v>89</v>
      </c>
      <c r="L78" s="21">
        <f t="shared" si="2"/>
        <v>23295.664000000001</v>
      </c>
      <c r="M78" s="23"/>
      <c r="N78" s="49">
        <f>((E78-'Standing data'!$D$11)*'Standing data'!$D$13)</f>
        <v>1259.6640000000002</v>
      </c>
      <c r="O78" s="49">
        <f>INT(E78*'Standing data'!$B$22)</f>
        <v>89</v>
      </c>
      <c r="P78" s="50">
        <f t="shared" si="3"/>
        <v>19264.664000000001</v>
      </c>
    </row>
    <row r="79" spans="1:16" x14ac:dyDescent="0.25">
      <c r="A79" s="139" t="s">
        <v>120</v>
      </c>
      <c r="B79" s="7"/>
      <c r="C79" s="13" t="s">
        <v>4</v>
      </c>
      <c r="D79" s="1"/>
      <c r="E79" s="128">
        <v>17651</v>
      </c>
      <c r="F79" s="27"/>
      <c r="G79" s="126"/>
      <c r="H79" s="27"/>
      <c r="I79" s="49">
        <f>SUM(E79-'Standing data'!$D$11)*'Standing data'!$D$13</f>
        <v>1223.0940000000001</v>
      </c>
      <c r="J79" s="28">
        <f>INT(E79*'Standing data'!$B$5)</f>
        <v>3971</v>
      </c>
      <c r="K79" s="49">
        <f>INT(E79*'Standing data'!$B$22)</f>
        <v>88</v>
      </c>
      <c r="L79" s="21">
        <f t="shared" si="2"/>
        <v>22933.094000000001</v>
      </c>
      <c r="M79" s="23"/>
      <c r="N79" s="49">
        <f>((E79-'Standing data'!$D$11)*'Standing data'!$D$13)</f>
        <v>1223.0940000000001</v>
      </c>
      <c r="O79" s="49">
        <f>INT(E79*'Standing data'!$B$22)</f>
        <v>88</v>
      </c>
      <c r="P79" s="50">
        <f t="shared" si="3"/>
        <v>18962.094000000001</v>
      </c>
    </row>
    <row r="80" spans="1:16" ht="13" x14ac:dyDescent="0.3">
      <c r="A80" s="38" t="s">
        <v>21</v>
      </c>
      <c r="B80" s="7"/>
      <c r="C80" s="161"/>
      <c r="D80" s="1"/>
      <c r="E80" s="3"/>
      <c r="F80" s="18"/>
      <c r="G80" s="3"/>
      <c r="H80" s="18"/>
      <c r="I80" s="40"/>
      <c r="J80" s="3"/>
      <c r="K80" s="3"/>
      <c r="L80" s="3"/>
      <c r="M80" s="18"/>
      <c r="N80" s="40"/>
      <c r="O80" s="40"/>
      <c r="P80" s="40"/>
    </row>
    <row r="81" spans="1:17" x14ac:dyDescent="0.25">
      <c r="A81" s="26"/>
      <c r="B81" s="18"/>
      <c r="C81" s="18"/>
      <c r="D81" s="19"/>
      <c r="E81" s="18"/>
      <c r="F81" s="18"/>
      <c r="G81" s="18"/>
      <c r="H81" s="18"/>
      <c r="I81" s="41"/>
      <c r="J81" s="18"/>
      <c r="K81" s="18"/>
      <c r="L81" s="18"/>
      <c r="M81" s="18"/>
      <c r="N81" s="41"/>
      <c r="O81" s="41"/>
      <c r="P81" s="41"/>
    </row>
    <row r="82" spans="1:17" s="45" customFormat="1" ht="24.75" customHeight="1" x14ac:dyDescent="0.25">
      <c r="A82" s="167" t="s">
        <v>33</v>
      </c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</row>
    <row r="83" spans="1:17" s="45" customFormat="1" ht="24.75" customHeight="1" x14ac:dyDescent="0.25">
      <c r="A83" s="166" t="s">
        <v>106</v>
      </c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60"/>
    </row>
    <row r="84" spans="1:17" s="45" customFormat="1" x14ac:dyDescent="0.25">
      <c r="A84" s="127" t="s">
        <v>107</v>
      </c>
      <c r="B84" s="41"/>
      <c r="C84" s="41"/>
      <c r="D84" s="42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</row>
    <row r="85" spans="1:17" s="45" customFormat="1" ht="13" x14ac:dyDescent="0.3">
      <c r="A85" s="47" t="s">
        <v>18</v>
      </c>
      <c r="B85" s="41"/>
      <c r="C85" s="41"/>
      <c r="D85" s="42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1:17" s="45" customFormat="1" ht="13" x14ac:dyDescent="0.3">
      <c r="A86" s="47"/>
      <c r="B86" s="41"/>
      <c r="C86" s="41"/>
      <c r="D86" s="42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</row>
    <row r="87" spans="1:17" ht="13" x14ac:dyDescent="0.3">
      <c r="A87" s="1"/>
      <c r="B87" s="3"/>
      <c r="C87" s="3"/>
      <c r="D87" s="1"/>
      <c r="E87" s="2" t="s">
        <v>110</v>
      </c>
      <c r="F87" s="25"/>
      <c r="G87" s="162" t="s">
        <v>30</v>
      </c>
      <c r="H87" s="163"/>
      <c r="I87" s="163"/>
      <c r="J87" s="163"/>
      <c r="K87" s="163"/>
      <c r="L87" s="164"/>
      <c r="M87" s="25"/>
      <c r="N87" s="58"/>
      <c r="O87" s="58"/>
      <c r="P87" s="58"/>
    </row>
    <row r="88" spans="1:17" ht="37.5" x14ac:dyDescent="0.3">
      <c r="A88" s="144" t="s">
        <v>0</v>
      </c>
      <c r="B88" s="3"/>
      <c r="C88" s="3"/>
      <c r="D88" s="1"/>
      <c r="E88" s="143" t="s">
        <v>123</v>
      </c>
      <c r="F88" s="30"/>
      <c r="G88" s="159" t="s">
        <v>31</v>
      </c>
      <c r="H88" s="30"/>
      <c r="I88" s="149" t="s">
        <v>16</v>
      </c>
      <c r="J88" s="159" t="s">
        <v>32</v>
      </c>
      <c r="K88" s="159"/>
      <c r="L88" s="160" t="s">
        <v>17</v>
      </c>
      <c r="M88" s="24"/>
      <c r="N88" s="48"/>
      <c r="O88" s="48"/>
      <c r="P88" s="48"/>
    </row>
    <row r="89" spans="1:17" x14ac:dyDescent="0.25">
      <c r="A89" s="139">
        <v>31</v>
      </c>
      <c r="B89" s="133"/>
      <c r="C89" s="5"/>
      <c r="D89" s="1"/>
      <c r="E89" s="128">
        <v>34804</v>
      </c>
      <c r="F89" s="27"/>
      <c r="G89" s="126" t="s">
        <v>105</v>
      </c>
      <c r="H89" s="27"/>
      <c r="I89" s="49">
        <f>SUM(E89-'Standing data'!$D$11)*'Standing data'!$D$13</f>
        <v>3590.2080000000001</v>
      </c>
      <c r="J89" s="22">
        <f>INT(E89*'Standing data'!$B$5)</f>
        <v>7830</v>
      </c>
      <c r="K89" s="49">
        <f>INT(E89*'Standing data'!$B$22)</f>
        <v>174</v>
      </c>
      <c r="L89" s="21">
        <f t="shared" ref="L89:L96" si="4">E89+I89+J89</f>
        <v>46224.207999999999</v>
      </c>
      <c r="M89" s="23"/>
      <c r="N89" s="51"/>
      <c r="O89" s="51"/>
      <c r="P89" s="52"/>
    </row>
    <row r="90" spans="1:17" x14ac:dyDescent="0.25">
      <c r="A90" s="139">
        <v>30</v>
      </c>
      <c r="B90" s="133"/>
      <c r="C90" s="5"/>
      <c r="D90" s="1"/>
      <c r="E90" s="128">
        <v>33797</v>
      </c>
      <c r="F90" s="27"/>
      <c r="G90" s="126" t="s">
        <v>105</v>
      </c>
      <c r="H90" s="27"/>
      <c r="I90" s="49">
        <f>SUM(E90-'Standing data'!$D$11)*'Standing data'!$D$13</f>
        <v>3451.2420000000002</v>
      </c>
      <c r="J90" s="22">
        <f>INT(E90*'Standing data'!$B$5)</f>
        <v>7604</v>
      </c>
      <c r="K90" s="49">
        <f>INT(E90*'Standing data'!$B$22)</f>
        <v>168</v>
      </c>
      <c r="L90" s="21">
        <f t="shared" si="4"/>
        <v>44852.241999999998</v>
      </c>
      <c r="M90" s="23"/>
      <c r="N90" s="51"/>
      <c r="O90" s="51"/>
      <c r="P90" s="52"/>
    </row>
    <row r="91" spans="1:17" x14ac:dyDescent="0.25">
      <c r="A91" s="139">
        <v>29</v>
      </c>
      <c r="B91" s="133"/>
      <c r="C91" s="5"/>
      <c r="D91" s="1"/>
      <c r="E91" s="128">
        <v>32817</v>
      </c>
      <c r="F91" s="27"/>
      <c r="G91" s="126" t="s">
        <v>105</v>
      </c>
      <c r="H91" s="27"/>
      <c r="I91" s="49">
        <f>SUM(E91-'Standing data'!$D$11)*'Standing data'!$D$13</f>
        <v>3316.0020000000004</v>
      </c>
      <c r="J91" s="22">
        <f>INT(E91*'Standing data'!$B$5)</f>
        <v>7383</v>
      </c>
      <c r="K91" s="49">
        <f>INT(E91*'Standing data'!$B$22)</f>
        <v>164</v>
      </c>
      <c r="L91" s="21">
        <f t="shared" si="4"/>
        <v>43516.002</v>
      </c>
      <c r="M91" s="23"/>
      <c r="N91" s="51"/>
      <c r="O91" s="51"/>
      <c r="P91" s="52"/>
    </row>
    <row r="92" spans="1:17" x14ac:dyDescent="0.25">
      <c r="A92" s="139">
        <v>28</v>
      </c>
      <c r="B92" s="133"/>
      <c r="C92" s="5"/>
      <c r="D92" s="1"/>
      <c r="E92" s="128">
        <v>31866</v>
      </c>
      <c r="F92" s="27"/>
      <c r="G92" s="126" t="s">
        <v>105</v>
      </c>
      <c r="H92" s="27"/>
      <c r="I92" s="49">
        <f>SUM(E92-'Standing data'!$D$11)*'Standing data'!$D$13</f>
        <v>3184.7640000000001</v>
      </c>
      <c r="J92" s="22">
        <f>INT(E92*'Standing data'!$B$5)</f>
        <v>7169</v>
      </c>
      <c r="K92" s="49">
        <f>INT(E92*'Standing data'!$B$22)</f>
        <v>159</v>
      </c>
      <c r="L92" s="21">
        <f t="shared" si="4"/>
        <v>42219.764000000003</v>
      </c>
      <c r="M92" s="23"/>
      <c r="N92" s="51"/>
      <c r="O92" s="51"/>
      <c r="P92" s="52"/>
    </row>
    <row r="93" spans="1:17" x14ac:dyDescent="0.25">
      <c r="A93" s="139">
        <v>27</v>
      </c>
      <c r="B93" s="14"/>
      <c r="C93" s="5"/>
      <c r="D93" s="1"/>
      <c r="E93" s="128">
        <v>30942</v>
      </c>
      <c r="F93" s="27"/>
      <c r="G93" s="126" t="s">
        <v>105</v>
      </c>
      <c r="H93" s="27"/>
      <c r="I93" s="49">
        <f>SUM(E93-'Standing data'!$D$11)*'Standing data'!$D$13</f>
        <v>3057.2520000000004</v>
      </c>
      <c r="J93" s="22">
        <f>INT(E93*'Standing data'!$B$5)</f>
        <v>6961</v>
      </c>
      <c r="K93" s="49">
        <f>INT(E93*'Standing data'!$B$22)</f>
        <v>154</v>
      </c>
      <c r="L93" s="21">
        <f t="shared" si="4"/>
        <v>40960.252</v>
      </c>
      <c r="M93" s="23"/>
      <c r="N93" s="51"/>
      <c r="O93" s="51"/>
      <c r="P93" s="52"/>
    </row>
    <row r="94" spans="1:17" x14ac:dyDescent="0.25">
      <c r="A94" s="139">
        <v>26</v>
      </c>
      <c r="B94" s="14"/>
      <c r="C94" s="5"/>
      <c r="D94" s="1"/>
      <c r="E94" s="128">
        <v>30046</v>
      </c>
      <c r="F94" s="27"/>
      <c r="G94" s="126" t="s">
        <v>105</v>
      </c>
      <c r="H94" s="27"/>
      <c r="I94" s="49">
        <f>SUM(E94-'Standing data'!$D$11)*'Standing data'!$D$13</f>
        <v>2933.6040000000003</v>
      </c>
      <c r="J94" s="22">
        <f>INT(E94*'Standing data'!$B$5)</f>
        <v>6760</v>
      </c>
      <c r="K94" s="49">
        <f>INT(E94*'Standing data'!$B$22)</f>
        <v>150</v>
      </c>
      <c r="L94" s="21">
        <f t="shared" si="4"/>
        <v>39739.603999999999</v>
      </c>
      <c r="M94" s="23"/>
      <c r="N94" s="51"/>
      <c r="O94" s="51"/>
      <c r="P94" s="52"/>
    </row>
    <row r="95" spans="1:17" x14ac:dyDescent="0.25">
      <c r="A95" s="140">
        <v>25</v>
      </c>
      <c r="B95" s="15"/>
      <c r="C95" s="9"/>
      <c r="D95" s="10" t="s">
        <v>1</v>
      </c>
      <c r="E95" s="128">
        <v>29176</v>
      </c>
      <c r="F95" s="29"/>
      <c r="G95" s="126" t="s">
        <v>105</v>
      </c>
      <c r="H95" s="29"/>
      <c r="I95" s="49">
        <f>SUM(E95-'Standing data'!$D$11)*'Standing data'!$D$13</f>
        <v>2813.5440000000003</v>
      </c>
      <c r="J95" s="22">
        <f>INT(E95*'Standing data'!$B$5)</f>
        <v>6564</v>
      </c>
      <c r="K95" s="49">
        <f>INT(E95*'Standing data'!$B$22)</f>
        <v>145</v>
      </c>
      <c r="L95" s="21">
        <f t="shared" si="4"/>
        <v>38553.544000000002</v>
      </c>
      <c r="M95" s="23"/>
      <c r="N95" s="51"/>
      <c r="O95" s="51"/>
      <c r="P95" s="52"/>
    </row>
    <row r="96" spans="1:17" x14ac:dyDescent="0.25">
      <c r="A96" s="139">
        <v>24</v>
      </c>
      <c r="B96" s="14"/>
      <c r="C96" s="5"/>
      <c r="D96" s="1"/>
      <c r="E96" s="128">
        <v>28331</v>
      </c>
      <c r="F96" s="27"/>
      <c r="G96" s="126" t="s">
        <v>105</v>
      </c>
      <c r="H96" s="27"/>
      <c r="I96" s="49">
        <f>SUM(E96-'Standing data'!$D$11)*'Standing data'!$D$13</f>
        <v>2696.9340000000002</v>
      </c>
      <c r="J96" s="22">
        <f>INT(E96*'Standing data'!$B$5)</f>
        <v>6374</v>
      </c>
      <c r="K96" s="49">
        <f>INT(E96*'Standing data'!$B$22)</f>
        <v>141</v>
      </c>
      <c r="L96" s="21">
        <f t="shared" si="4"/>
        <v>37401.934000000001</v>
      </c>
      <c r="M96" s="23"/>
      <c r="N96" s="51"/>
      <c r="O96" s="51"/>
      <c r="P96" s="52"/>
    </row>
    <row r="97" spans="1:16" x14ac:dyDescent="0.25">
      <c r="A97" s="139">
        <v>23</v>
      </c>
      <c r="B97" s="16" t="s">
        <v>6</v>
      </c>
      <c r="C97" s="6"/>
      <c r="D97" s="1"/>
      <c r="E97" s="128">
        <v>27511</v>
      </c>
      <c r="F97" s="27"/>
      <c r="G97" s="126" t="s">
        <v>105</v>
      </c>
      <c r="H97" s="27"/>
      <c r="I97" s="49">
        <f>SUM(E97-'Standing data'!$D$11)*'Standing data'!$D$13</f>
        <v>2583.7740000000003</v>
      </c>
      <c r="J97" s="22">
        <f>INT(E97*'Standing data'!$B$5)</f>
        <v>6189</v>
      </c>
      <c r="K97" s="49">
        <f>INT(E97*'Standing data'!$B$22)</f>
        <v>137</v>
      </c>
      <c r="L97" s="21">
        <f>E97+I97+J97</f>
        <v>36283.774000000005</v>
      </c>
      <c r="M97" s="18"/>
      <c r="N97" s="41"/>
      <c r="O97" s="41"/>
      <c r="P97" s="41"/>
    </row>
    <row r="98" spans="1:16" x14ac:dyDescent="0.25">
      <c r="N98" s="45"/>
      <c r="O98" s="45"/>
      <c r="P98" s="45"/>
    </row>
    <row r="99" spans="1:16" x14ac:dyDescent="0.25">
      <c r="N99" s="45"/>
      <c r="O99" s="45"/>
      <c r="P99" s="45"/>
    </row>
    <row r="100" spans="1:16" x14ac:dyDescent="0.25">
      <c r="N100" s="45"/>
      <c r="O100" s="45"/>
      <c r="P100" s="45"/>
    </row>
    <row r="101" spans="1:16" x14ac:dyDescent="0.25">
      <c r="N101" s="45"/>
      <c r="O101" s="45"/>
      <c r="P101" s="45"/>
    </row>
    <row r="102" spans="1:16" x14ac:dyDescent="0.25">
      <c r="N102" s="45"/>
      <c r="O102" s="45"/>
      <c r="P102" s="45"/>
    </row>
    <row r="103" spans="1:16" x14ac:dyDescent="0.25">
      <c r="N103" s="45"/>
      <c r="O103" s="45"/>
      <c r="P103" s="45"/>
    </row>
    <row r="104" spans="1:16" x14ac:dyDescent="0.25">
      <c r="N104" s="45"/>
      <c r="O104" s="45"/>
      <c r="P104" s="45"/>
    </row>
    <row r="105" spans="1:16" x14ac:dyDescent="0.25">
      <c r="N105" s="45"/>
      <c r="O105" s="45"/>
      <c r="P105" s="45"/>
    </row>
    <row r="106" spans="1:16" x14ac:dyDescent="0.25">
      <c r="N106" s="45"/>
      <c r="O106" s="45"/>
      <c r="P106" s="45"/>
    </row>
    <row r="107" spans="1:16" x14ac:dyDescent="0.25">
      <c r="N107" s="45"/>
      <c r="O107" s="45"/>
      <c r="P107" s="45"/>
    </row>
    <row r="108" spans="1:16" x14ac:dyDescent="0.25">
      <c r="N108" s="45"/>
      <c r="O108" s="45"/>
      <c r="P108" s="45"/>
    </row>
    <row r="109" spans="1:16" x14ac:dyDescent="0.25">
      <c r="N109" s="45"/>
      <c r="O109" s="45"/>
      <c r="P109" s="45"/>
    </row>
    <row r="110" spans="1:16" x14ac:dyDescent="0.25">
      <c r="N110" s="45"/>
      <c r="O110" s="45"/>
      <c r="P110" s="45"/>
    </row>
    <row r="111" spans="1:16" x14ac:dyDescent="0.25">
      <c r="N111" s="45"/>
      <c r="O111" s="45"/>
      <c r="P111" s="45"/>
    </row>
    <row r="112" spans="1:16" x14ac:dyDescent="0.25">
      <c r="N112" s="45"/>
      <c r="O112" s="45"/>
      <c r="P112" s="45"/>
    </row>
    <row r="113" spans="14:16" x14ac:dyDescent="0.25">
      <c r="N113" s="45"/>
      <c r="O113" s="45"/>
      <c r="P113" s="45"/>
    </row>
    <row r="114" spans="14:16" x14ac:dyDescent="0.25">
      <c r="N114" s="45"/>
      <c r="O114" s="45"/>
      <c r="P114" s="45"/>
    </row>
    <row r="115" spans="14:16" x14ac:dyDescent="0.25">
      <c r="N115" s="45"/>
      <c r="O115" s="45"/>
      <c r="P115" s="45"/>
    </row>
    <row r="116" spans="14:16" x14ac:dyDescent="0.25">
      <c r="N116" s="45"/>
      <c r="O116" s="45"/>
      <c r="P116" s="45"/>
    </row>
    <row r="117" spans="14:16" x14ac:dyDescent="0.25">
      <c r="N117" s="45"/>
      <c r="O117" s="45"/>
      <c r="P117" s="45"/>
    </row>
    <row r="118" spans="14:16" x14ac:dyDescent="0.25">
      <c r="N118" s="45"/>
      <c r="O118" s="45"/>
      <c r="P118" s="45"/>
    </row>
    <row r="119" spans="14:16" x14ac:dyDescent="0.25">
      <c r="N119" s="45"/>
      <c r="O119" s="45"/>
      <c r="P119" s="45"/>
    </row>
    <row r="120" spans="14:16" x14ac:dyDescent="0.25">
      <c r="N120" s="45"/>
      <c r="O120" s="45"/>
      <c r="P120" s="45"/>
    </row>
    <row r="121" spans="14:16" x14ac:dyDescent="0.25">
      <c r="N121" s="45"/>
      <c r="O121" s="45"/>
      <c r="P121" s="45"/>
    </row>
    <row r="122" spans="14:16" x14ac:dyDescent="0.25">
      <c r="N122" s="45"/>
      <c r="O122" s="45"/>
      <c r="P122" s="45"/>
    </row>
    <row r="123" spans="14:16" x14ac:dyDescent="0.25">
      <c r="N123" s="45"/>
      <c r="O123" s="45"/>
      <c r="P123" s="45"/>
    </row>
    <row r="124" spans="14:16" x14ac:dyDescent="0.25">
      <c r="N124" s="45"/>
      <c r="O124" s="45"/>
      <c r="P124" s="45"/>
    </row>
    <row r="125" spans="14:16" x14ac:dyDescent="0.25">
      <c r="N125" s="45"/>
      <c r="O125" s="45"/>
      <c r="P125" s="45"/>
    </row>
    <row r="126" spans="14:16" x14ac:dyDescent="0.25">
      <c r="N126" s="45"/>
      <c r="O126" s="45"/>
      <c r="P126" s="45"/>
    </row>
    <row r="127" spans="14:16" x14ac:dyDescent="0.25">
      <c r="N127" s="45"/>
      <c r="O127" s="45"/>
      <c r="P127" s="45"/>
    </row>
    <row r="128" spans="14:16" x14ac:dyDescent="0.25">
      <c r="N128" s="45"/>
      <c r="O128" s="45"/>
      <c r="P128" s="45"/>
    </row>
    <row r="129" spans="14:16" x14ac:dyDescent="0.25">
      <c r="N129" s="45"/>
      <c r="O129" s="45"/>
      <c r="P129" s="45"/>
    </row>
    <row r="130" spans="14:16" x14ac:dyDescent="0.25">
      <c r="N130" s="45"/>
      <c r="O130" s="45"/>
      <c r="P130" s="45"/>
    </row>
    <row r="131" spans="14:16" x14ac:dyDescent="0.25">
      <c r="N131" s="45"/>
      <c r="O131" s="45"/>
      <c r="P131" s="45"/>
    </row>
    <row r="132" spans="14:16" x14ac:dyDescent="0.25">
      <c r="N132" s="45"/>
      <c r="O132" s="45"/>
      <c r="P132" s="45"/>
    </row>
    <row r="133" spans="14:16" x14ac:dyDescent="0.25">
      <c r="N133" s="45"/>
      <c r="O133" s="45"/>
      <c r="P133" s="45"/>
    </row>
    <row r="134" spans="14:16" x14ac:dyDescent="0.25">
      <c r="N134" s="45"/>
      <c r="O134" s="45"/>
      <c r="P134" s="45"/>
    </row>
    <row r="135" spans="14:16" x14ac:dyDescent="0.25">
      <c r="N135" s="45"/>
      <c r="O135" s="45"/>
      <c r="P135" s="45"/>
    </row>
    <row r="136" spans="14:16" x14ac:dyDescent="0.25">
      <c r="N136" s="45"/>
      <c r="O136" s="45"/>
      <c r="P136" s="45"/>
    </row>
    <row r="137" spans="14:16" x14ac:dyDescent="0.25">
      <c r="N137" s="45"/>
      <c r="O137" s="45"/>
      <c r="P137" s="45"/>
    </row>
    <row r="138" spans="14:16" x14ac:dyDescent="0.25">
      <c r="N138" s="45"/>
      <c r="O138" s="45"/>
      <c r="P138" s="45"/>
    </row>
    <row r="139" spans="14:16" x14ac:dyDescent="0.25">
      <c r="N139" s="45"/>
      <c r="O139" s="45"/>
      <c r="P139" s="45"/>
    </row>
    <row r="140" spans="14:16" x14ac:dyDescent="0.25">
      <c r="N140" s="45"/>
      <c r="O140" s="45"/>
      <c r="P140" s="45"/>
    </row>
    <row r="141" spans="14:16" x14ac:dyDescent="0.25">
      <c r="N141" s="45"/>
      <c r="O141" s="45"/>
      <c r="P141" s="45"/>
    </row>
    <row r="142" spans="14:16" x14ac:dyDescent="0.25">
      <c r="N142" s="45"/>
      <c r="O142" s="45"/>
      <c r="P142" s="45"/>
    </row>
    <row r="143" spans="14:16" x14ac:dyDescent="0.25">
      <c r="N143" s="45"/>
      <c r="O143" s="45"/>
      <c r="P143" s="45"/>
    </row>
    <row r="144" spans="14:16" x14ac:dyDescent="0.25">
      <c r="N144" s="45"/>
      <c r="O144" s="45"/>
      <c r="P144" s="45"/>
    </row>
    <row r="145" spans="14:16" x14ac:dyDescent="0.25">
      <c r="N145" s="45"/>
      <c r="O145" s="45"/>
      <c r="P145" s="45"/>
    </row>
    <row r="146" spans="14:16" x14ac:dyDescent="0.25">
      <c r="N146" s="45"/>
      <c r="O146" s="45"/>
      <c r="P146" s="45"/>
    </row>
    <row r="147" spans="14:16" x14ac:dyDescent="0.25">
      <c r="N147" s="45"/>
      <c r="O147" s="45"/>
      <c r="P147" s="45"/>
    </row>
    <row r="148" spans="14:16" x14ac:dyDescent="0.25">
      <c r="N148" s="45"/>
      <c r="O148" s="45"/>
      <c r="P148" s="45"/>
    </row>
    <row r="149" spans="14:16" x14ac:dyDescent="0.25">
      <c r="N149" s="45"/>
      <c r="O149" s="45"/>
      <c r="P149" s="45"/>
    </row>
    <row r="150" spans="14:16" x14ac:dyDescent="0.25">
      <c r="N150" s="45"/>
      <c r="O150" s="45"/>
      <c r="P150" s="45"/>
    </row>
    <row r="151" spans="14:16" x14ac:dyDescent="0.25">
      <c r="N151" s="45"/>
      <c r="O151" s="45"/>
      <c r="P151" s="45"/>
    </row>
    <row r="152" spans="14:16" x14ac:dyDescent="0.25">
      <c r="N152" s="45"/>
      <c r="O152" s="45"/>
      <c r="P152" s="45"/>
    </row>
    <row r="153" spans="14:16" x14ac:dyDescent="0.25">
      <c r="N153" s="45"/>
      <c r="O153" s="45"/>
      <c r="P153" s="45"/>
    </row>
    <row r="154" spans="14:16" x14ac:dyDescent="0.25">
      <c r="N154" s="45"/>
      <c r="O154" s="45"/>
      <c r="P154" s="45"/>
    </row>
    <row r="155" spans="14:16" x14ac:dyDescent="0.25">
      <c r="N155" s="45"/>
      <c r="O155" s="45"/>
      <c r="P155" s="45"/>
    </row>
    <row r="156" spans="14:16" x14ac:dyDescent="0.25">
      <c r="N156" s="45"/>
      <c r="O156" s="45"/>
      <c r="P156" s="45"/>
    </row>
  </sheetData>
  <mergeCells count="6">
    <mergeCell ref="G87:L87"/>
    <mergeCell ref="A5:Q5"/>
    <mergeCell ref="A83:P83"/>
    <mergeCell ref="A82:Q82"/>
    <mergeCell ref="G7:L7"/>
    <mergeCell ref="N7:P7"/>
  </mergeCells>
  <phoneticPr fontId="9" type="noConversion"/>
  <pageMargins left="0.19685039370078741" right="0.19685039370078741" top="0.19685039370078741" bottom="0.19685039370078741" header="0.51181102362204722" footer="0.51181102362204722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A17" sqref="A17"/>
    </sheetView>
  </sheetViews>
  <sheetFormatPr defaultColWidth="9.1796875" defaultRowHeight="12.5" x14ac:dyDescent="0.25"/>
  <cols>
    <col min="1" max="1" width="32.54296875" style="3" customWidth="1"/>
    <col min="2" max="2" width="11.1796875" style="3" customWidth="1"/>
    <col min="3" max="16384" width="9.1796875" style="3"/>
  </cols>
  <sheetData>
    <row r="1" spans="1:4" ht="13" x14ac:dyDescent="0.3">
      <c r="A1" s="20" t="s">
        <v>9</v>
      </c>
      <c r="B1" s="35">
        <v>43770</v>
      </c>
      <c r="C1" s="33"/>
    </row>
    <row r="2" spans="1:4" ht="13" x14ac:dyDescent="0.3">
      <c r="A2" s="20" t="s">
        <v>10</v>
      </c>
      <c r="B2" s="57">
        <v>43927</v>
      </c>
    </row>
    <row r="3" spans="1:4" ht="13" x14ac:dyDescent="0.3">
      <c r="A3" s="20"/>
    </row>
    <row r="4" spans="1:4" ht="13" x14ac:dyDescent="0.3">
      <c r="A4" s="20" t="s">
        <v>22</v>
      </c>
      <c r="B4" s="56">
        <v>0.21099999999999999</v>
      </c>
    </row>
    <row r="5" spans="1:4" ht="13" x14ac:dyDescent="0.3">
      <c r="A5" s="20" t="s">
        <v>104</v>
      </c>
      <c r="B5" s="56">
        <v>0.22500000000000001</v>
      </c>
    </row>
    <row r="7" spans="1:4" ht="13" x14ac:dyDescent="0.3">
      <c r="A7" s="122" t="s">
        <v>98</v>
      </c>
      <c r="B7" s="123">
        <v>17361</v>
      </c>
    </row>
    <row r="9" spans="1:4" ht="26" x14ac:dyDescent="0.3">
      <c r="A9" s="20" t="s">
        <v>124</v>
      </c>
      <c r="B9" s="59" t="s">
        <v>11</v>
      </c>
      <c r="C9" s="59" t="s">
        <v>34</v>
      </c>
      <c r="D9" s="59" t="s">
        <v>12</v>
      </c>
    </row>
    <row r="10" spans="1:4" x14ac:dyDescent="0.25">
      <c r="A10" s="3" t="s">
        <v>13</v>
      </c>
      <c r="B10" s="96">
        <v>120</v>
      </c>
      <c r="C10" s="96">
        <v>520</v>
      </c>
      <c r="D10" s="97">
        <v>6240</v>
      </c>
    </row>
    <row r="11" spans="1:4" x14ac:dyDescent="0.25">
      <c r="A11" s="3" t="s">
        <v>35</v>
      </c>
      <c r="B11" s="96">
        <v>169</v>
      </c>
      <c r="C11" s="96">
        <v>732</v>
      </c>
      <c r="D11" s="97">
        <v>8788</v>
      </c>
    </row>
    <row r="12" spans="1:4" x14ac:dyDescent="0.25">
      <c r="A12" s="3" t="s">
        <v>14</v>
      </c>
      <c r="B12" s="96">
        <v>962</v>
      </c>
      <c r="C12" s="96">
        <v>4167</v>
      </c>
      <c r="D12" s="97">
        <v>50000</v>
      </c>
    </row>
    <row r="13" spans="1:4" x14ac:dyDescent="0.25">
      <c r="A13" s="3" t="s">
        <v>36</v>
      </c>
      <c r="D13" s="55">
        <v>0.13800000000000001</v>
      </c>
    </row>
    <row r="14" spans="1:4" x14ac:dyDescent="0.25">
      <c r="A14" s="94" t="s">
        <v>75</v>
      </c>
      <c r="B14" s="95" t="s">
        <v>76</v>
      </c>
    </row>
    <row r="15" spans="1:4" x14ac:dyDescent="0.25">
      <c r="A15" s="94" t="s">
        <v>77</v>
      </c>
      <c r="B15" s="95" t="s">
        <v>40</v>
      </c>
    </row>
    <row r="17" spans="1:2" ht="13" x14ac:dyDescent="0.3">
      <c r="A17" s="8" t="s">
        <v>100</v>
      </c>
    </row>
    <row r="19" spans="1:2" x14ac:dyDescent="0.25">
      <c r="A19" s="3" t="s">
        <v>37</v>
      </c>
      <c r="B19" s="3" t="s">
        <v>38</v>
      </c>
    </row>
    <row r="22" spans="1:2" ht="13" x14ac:dyDescent="0.3">
      <c r="A22" s="122" t="s">
        <v>108</v>
      </c>
      <c r="B22" s="130">
        <v>5.0000000000000001E-3</v>
      </c>
    </row>
    <row r="23" spans="1:2" x14ac:dyDescent="0.25">
      <c r="A23" s="40"/>
    </row>
    <row r="24" spans="1:2" x14ac:dyDescent="0.25">
      <c r="A24" s="40"/>
    </row>
    <row r="27" spans="1:2" x14ac:dyDescent="0.25">
      <c r="A27" s="40"/>
      <c r="B27" s="34"/>
    </row>
    <row r="28" spans="1:2" x14ac:dyDescent="0.25">
      <c r="A28" s="40"/>
      <c r="B28" s="34"/>
    </row>
    <row r="29" spans="1:2" x14ac:dyDescent="0.25">
      <c r="A29" s="40"/>
      <c r="B29" s="44"/>
    </row>
  </sheetData>
  <phoneticPr fontId="0" type="noConversion"/>
  <hyperlinks>
    <hyperlink ref="B14" r:id="rId1"/>
  </hyperlinks>
  <printOptions headings="1"/>
  <pageMargins left="0.74803149606299213" right="0.74803149606299213" top="0.98425196850393704" bottom="0.98425196850393704" header="0.51181102362204722" footer="0.51181102362204722"/>
  <pageSetup paperSize="9" scale="75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67"/>
  <sheetViews>
    <sheetView showGridLines="0" workbookViewId="0">
      <selection activeCell="L11" sqref="L11"/>
    </sheetView>
  </sheetViews>
  <sheetFormatPr defaultColWidth="3.7265625" defaultRowHeight="12.5" x14ac:dyDescent="0.25"/>
  <cols>
    <col min="1" max="1" width="2" customWidth="1"/>
    <col min="2" max="2" width="1.81640625" customWidth="1"/>
    <col min="21" max="21" width="6" bestFit="1" customWidth="1"/>
    <col min="22" max="22" width="3.26953125" customWidth="1"/>
    <col min="30" max="30" width="2.1796875" customWidth="1"/>
    <col min="33" max="33" width="5.81640625" bestFit="1" customWidth="1"/>
    <col min="47" max="47" width="4.453125" customWidth="1"/>
    <col min="49" max="113" width="0" style="100" hidden="1" customWidth="1"/>
    <col min="114" max="16384" width="3.7265625" style="100"/>
  </cols>
  <sheetData>
    <row r="1" spans="1:68" x14ac:dyDescent="0.25">
      <c r="AW1" s="101" t="s">
        <v>83</v>
      </c>
      <c r="AX1" s="99"/>
      <c r="AY1" s="99"/>
      <c r="AZ1" s="99"/>
      <c r="BA1" s="99"/>
      <c r="BB1" s="99"/>
      <c r="BC1" s="99"/>
      <c r="BD1" s="99"/>
      <c r="BE1" s="99"/>
      <c r="BF1" s="99" t="s">
        <v>29</v>
      </c>
      <c r="BG1" s="99"/>
      <c r="BH1" s="99"/>
      <c r="BI1" s="99"/>
      <c r="BJ1" s="99"/>
      <c r="BK1" s="99"/>
      <c r="BL1" s="99"/>
      <c r="BM1" s="99"/>
      <c r="BN1" s="99"/>
      <c r="BO1" s="99"/>
      <c r="BP1" s="99"/>
    </row>
    <row r="2" spans="1:68" x14ac:dyDescent="0.25">
      <c r="AW2" s="99"/>
      <c r="AX2" s="99"/>
      <c r="AY2" s="99"/>
      <c r="AZ2" s="99"/>
      <c r="BA2" s="99"/>
      <c r="BB2" s="99"/>
      <c r="BC2" s="99"/>
      <c r="BD2" s="99"/>
      <c r="BE2" s="99"/>
      <c r="BF2" s="99" t="s">
        <v>24</v>
      </c>
      <c r="BG2" s="99"/>
      <c r="BH2" s="99"/>
      <c r="BI2" s="99"/>
      <c r="BJ2" s="99"/>
      <c r="BK2" s="99"/>
      <c r="BL2" s="99"/>
      <c r="BM2" s="99"/>
      <c r="BN2" s="99"/>
      <c r="BO2" s="99"/>
      <c r="BP2" s="99"/>
    </row>
    <row r="3" spans="1:68" ht="15" customHeight="1" x14ac:dyDescent="0.3">
      <c r="N3" s="98" t="s">
        <v>81</v>
      </c>
      <c r="AW3" s="99"/>
      <c r="AX3" s="99"/>
      <c r="AY3" s="99"/>
      <c r="AZ3" s="99"/>
      <c r="BA3" s="99"/>
      <c r="BB3" s="99"/>
      <c r="BC3" s="99"/>
      <c r="BD3" s="99"/>
      <c r="BE3" s="99"/>
      <c r="BF3" s="99" t="s">
        <v>23</v>
      </c>
      <c r="BG3" s="99"/>
      <c r="BH3" s="99"/>
      <c r="BI3" s="99"/>
      <c r="BJ3" s="99"/>
      <c r="BK3" s="99"/>
      <c r="BL3" s="99"/>
      <c r="BM3" s="99"/>
      <c r="BN3" s="99"/>
      <c r="BO3" s="99"/>
      <c r="BP3" s="99"/>
    </row>
    <row r="4" spans="1:68" ht="12.75" customHeight="1" x14ac:dyDescent="0.3">
      <c r="N4" s="92" t="s">
        <v>74</v>
      </c>
      <c r="AF4" s="102" t="s">
        <v>39</v>
      </c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4"/>
      <c r="AW4" s="99"/>
      <c r="AX4" s="99"/>
      <c r="AY4" s="99"/>
      <c r="AZ4" s="99"/>
      <c r="BA4" s="99"/>
      <c r="BB4" s="99"/>
      <c r="BC4" s="99"/>
      <c r="BD4" s="99"/>
      <c r="BE4" s="99"/>
      <c r="BF4" s="99" t="s">
        <v>82</v>
      </c>
      <c r="BG4" s="99"/>
      <c r="BH4" s="99"/>
      <c r="BI4" s="99"/>
      <c r="BJ4" s="99"/>
      <c r="BK4" s="99"/>
      <c r="BL4" s="99"/>
      <c r="BM4" s="99"/>
      <c r="BN4" s="99"/>
      <c r="BO4" s="99"/>
      <c r="BP4" s="99"/>
    </row>
    <row r="5" spans="1:68" x14ac:dyDescent="0.25">
      <c r="AF5" s="105" t="s">
        <v>88</v>
      </c>
      <c r="AG5" s="106"/>
      <c r="AH5" s="106"/>
      <c r="AI5" s="106"/>
      <c r="AJ5" s="106"/>
      <c r="AK5" s="106"/>
      <c r="AL5" s="106"/>
      <c r="AM5" s="106"/>
      <c r="AN5" s="106"/>
      <c r="AO5" s="43"/>
      <c r="AP5" s="43"/>
      <c r="AQ5" s="43"/>
      <c r="AR5" s="43"/>
      <c r="AS5" s="43"/>
      <c r="AT5" s="43"/>
      <c r="AU5" s="107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</row>
    <row r="6" spans="1:68" x14ac:dyDescent="0.25">
      <c r="N6" s="93" t="s">
        <v>80</v>
      </c>
      <c r="AF6" s="108" t="s">
        <v>84</v>
      </c>
      <c r="AG6" s="106"/>
      <c r="AH6" s="106"/>
      <c r="AI6" s="106"/>
      <c r="AJ6" s="106"/>
      <c r="AK6" s="106"/>
      <c r="AL6" s="106"/>
      <c r="AM6" s="106"/>
      <c r="AN6" s="106"/>
      <c r="AO6" s="43"/>
      <c r="AP6" s="43"/>
      <c r="AQ6" s="43"/>
      <c r="AR6" s="43"/>
      <c r="AS6" s="43"/>
      <c r="AT6" s="43"/>
      <c r="AU6" s="107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</row>
    <row r="7" spans="1:68" ht="12.75" customHeight="1" x14ac:dyDescent="0.25">
      <c r="N7" s="93" t="s">
        <v>79</v>
      </c>
      <c r="AF7" s="109" t="s">
        <v>85</v>
      </c>
      <c r="AG7" s="106"/>
      <c r="AH7" s="106"/>
      <c r="AI7" s="106"/>
      <c r="AJ7" s="106"/>
      <c r="AK7" s="106"/>
      <c r="AL7" s="106"/>
      <c r="AM7" s="106"/>
      <c r="AN7" s="106"/>
      <c r="AO7" s="43"/>
      <c r="AP7" s="43"/>
      <c r="AQ7" s="43"/>
      <c r="AR7" s="43"/>
      <c r="AS7" s="43"/>
      <c r="AT7" s="43"/>
      <c r="AU7" s="107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</row>
    <row r="8" spans="1:68" ht="12.75" customHeight="1" x14ac:dyDescent="0.25">
      <c r="AF8" s="110" t="s">
        <v>86</v>
      </c>
      <c r="AG8" s="106"/>
      <c r="AH8" s="106"/>
      <c r="AI8" s="106"/>
      <c r="AJ8" s="106"/>
      <c r="AK8" s="106"/>
      <c r="AL8" s="106"/>
      <c r="AM8" s="106"/>
      <c r="AN8" s="106"/>
      <c r="AO8" s="43"/>
      <c r="AP8" s="43"/>
      <c r="AQ8" s="43"/>
      <c r="AR8" s="43"/>
      <c r="AS8" s="43"/>
      <c r="AT8" s="43"/>
      <c r="AU8" s="107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</row>
    <row r="9" spans="1:68" ht="12.75" customHeight="1" x14ac:dyDescent="0.3">
      <c r="A9" s="62"/>
      <c r="B9" s="62"/>
      <c r="C9" s="63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3" t="s">
        <v>43</v>
      </c>
      <c r="P9" s="63"/>
      <c r="Q9" s="63"/>
      <c r="R9" s="63"/>
      <c r="S9" s="63"/>
      <c r="T9" s="63"/>
      <c r="U9" s="63"/>
      <c r="V9" s="63"/>
      <c r="W9" s="63" t="s">
        <v>44</v>
      </c>
      <c r="X9" s="63"/>
      <c r="Y9" s="63"/>
      <c r="Z9" s="63"/>
      <c r="AA9" s="63"/>
      <c r="AB9" s="62"/>
      <c r="AC9" s="62"/>
      <c r="AD9" s="62"/>
      <c r="AE9" s="62"/>
      <c r="AF9" s="89" t="s">
        <v>87</v>
      </c>
      <c r="AG9" s="106"/>
      <c r="AH9" s="106"/>
      <c r="AI9" s="106"/>
      <c r="AJ9" s="106"/>
      <c r="AK9" s="106"/>
      <c r="AL9" s="106"/>
      <c r="AM9" s="106"/>
      <c r="AN9" s="106"/>
      <c r="AO9" s="43"/>
      <c r="AP9" s="43"/>
      <c r="AQ9" s="43"/>
      <c r="AR9" s="43"/>
      <c r="AS9" s="43"/>
      <c r="AT9" s="43"/>
      <c r="AU9" s="107"/>
      <c r="AV9" s="62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</row>
    <row r="10" spans="1:68" x14ac:dyDescent="0.25">
      <c r="A10" s="62"/>
      <c r="B10" s="62"/>
      <c r="C10" s="64" t="s">
        <v>45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230"/>
      <c r="S10" s="231"/>
      <c r="T10" s="231"/>
      <c r="U10" s="232"/>
      <c r="V10" s="62"/>
      <c r="W10" s="62"/>
      <c r="X10" s="62"/>
      <c r="Y10" s="62"/>
      <c r="Z10" s="230"/>
      <c r="AA10" s="231"/>
      <c r="AB10" s="231"/>
      <c r="AC10" s="232"/>
      <c r="AD10" s="62"/>
      <c r="AE10" s="62"/>
      <c r="AF10" s="105" t="s">
        <v>89</v>
      </c>
      <c r="AG10" s="106"/>
      <c r="AH10" s="106"/>
      <c r="AI10" s="106"/>
      <c r="AJ10" s="106"/>
      <c r="AK10" s="106"/>
      <c r="AL10" s="106"/>
      <c r="AM10" s="106"/>
      <c r="AN10" s="106"/>
      <c r="AO10" s="43"/>
      <c r="AP10" s="43"/>
      <c r="AQ10" s="43"/>
      <c r="AR10" s="43"/>
      <c r="AS10" s="43"/>
      <c r="AT10" s="43"/>
      <c r="AU10" s="107"/>
      <c r="AV10" s="62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</row>
    <row r="11" spans="1:68" x14ac:dyDescent="0.25">
      <c r="A11" s="62"/>
      <c r="B11" s="62"/>
      <c r="C11" s="64" t="s">
        <v>46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215" t="s">
        <v>23</v>
      </c>
      <c r="S11" s="216"/>
      <c r="T11" s="216"/>
      <c r="U11" s="217"/>
      <c r="V11" s="62"/>
      <c r="W11" s="62"/>
      <c r="X11" s="62"/>
      <c r="Y11" s="62"/>
      <c r="Z11" s="215" t="s">
        <v>23</v>
      </c>
      <c r="AA11" s="216"/>
      <c r="AB11" s="216"/>
      <c r="AC11" s="217"/>
      <c r="AD11" s="62"/>
      <c r="AE11" s="62"/>
      <c r="AF11" s="111" t="s">
        <v>90</v>
      </c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76"/>
      <c r="AV11" s="62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</row>
    <row r="12" spans="1:68" ht="13" x14ac:dyDescent="0.3">
      <c r="A12" s="62"/>
      <c r="B12" s="62"/>
      <c r="C12" s="64" t="s">
        <v>95</v>
      </c>
      <c r="D12" s="62"/>
      <c r="E12" s="62"/>
      <c r="F12" s="62"/>
      <c r="G12" s="64" t="s">
        <v>47</v>
      </c>
      <c r="H12" s="62"/>
      <c r="I12" s="62"/>
      <c r="J12" s="62"/>
      <c r="K12" s="62"/>
      <c r="L12" s="62"/>
      <c r="M12" s="62"/>
      <c r="N12" s="62"/>
      <c r="O12" s="233"/>
      <c r="P12" s="234"/>
      <c r="Q12" s="235"/>
      <c r="R12" s="62"/>
      <c r="S12" s="62"/>
      <c r="T12" s="62"/>
      <c r="U12" s="62"/>
      <c r="V12" s="62"/>
      <c r="W12" s="233"/>
      <c r="X12" s="234"/>
      <c r="Y12" s="235"/>
      <c r="Z12" s="62"/>
      <c r="AA12" s="62"/>
      <c r="AB12" s="62"/>
      <c r="AC12" s="62"/>
      <c r="AD12" s="62"/>
      <c r="AE12" s="62"/>
      <c r="AF12" s="105" t="s">
        <v>91</v>
      </c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76"/>
      <c r="AV12" s="62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</row>
    <row r="13" spans="1:68" x14ac:dyDescent="0.25">
      <c r="A13" s="62"/>
      <c r="B13" s="62"/>
      <c r="C13" s="62"/>
      <c r="D13" s="62"/>
      <c r="E13" s="62"/>
      <c r="F13" s="62"/>
      <c r="G13" s="64" t="s">
        <v>48</v>
      </c>
      <c r="H13" s="62"/>
      <c r="I13" s="62"/>
      <c r="J13" s="62"/>
      <c r="K13" s="62"/>
      <c r="L13" s="62"/>
      <c r="M13" s="62"/>
      <c r="N13" s="62"/>
      <c r="O13" s="215"/>
      <c r="P13" s="216"/>
      <c r="Q13" s="217"/>
      <c r="R13" s="62"/>
      <c r="S13" s="62"/>
      <c r="T13" s="62"/>
      <c r="U13" s="62"/>
      <c r="V13" s="62"/>
      <c r="W13" s="215"/>
      <c r="X13" s="216"/>
      <c r="Y13" s="217"/>
      <c r="Z13" s="62"/>
      <c r="AA13" s="62"/>
      <c r="AB13" s="62"/>
      <c r="AC13" s="62"/>
      <c r="AD13" s="62"/>
      <c r="AE13" s="62"/>
      <c r="AF13" s="89" t="s">
        <v>92</v>
      </c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76"/>
      <c r="AV13" s="62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</row>
    <row r="14" spans="1:68" x14ac:dyDescent="0.25">
      <c r="A14" s="62"/>
      <c r="B14" s="62"/>
      <c r="C14" s="62"/>
      <c r="D14" s="62"/>
      <c r="E14" s="62"/>
      <c r="F14" s="62"/>
      <c r="G14" s="62" t="s">
        <v>49</v>
      </c>
      <c r="H14" s="62"/>
      <c r="I14" s="62"/>
      <c r="J14" s="62"/>
      <c r="K14" s="62"/>
      <c r="L14" s="62"/>
      <c r="M14" s="62"/>
      <c r="N14" s="62"/>
      <c r="O14" s="218">
        <f>IF(R10&lt;Table!E57, 16.59, 17.65)</f>
        <v>16.59</v>
      </c>
      <c r="P14" s="219"/>
      <c r="Q14" s="220"/>
      <c r="R14" s="62"/>
      <c r="S14" s="62"/>
      <c r="T14" s="62"/>
      <c r="U14" s="62"/>
      <c r="V14" s="62"/>
      <c r="W14" s="218">
        <f>IF(Z10&lt;Table!E57, 16.59, 17.65)</f>
        <v>16.59</v>
      </c>
      <c r="X14" s="219"/>
      <c r="Y14" s="220"/>
      <c r="Z14" s="62"/>
      <c r="AA14" s="62"/>
      <c r="AB14" s="62"/>
      <c r="AC14" s="62"/>
      <c r="AD14" s="62"/>
      <c r="AE14" s="62"/>
      <c r="AF14" s="105" t="s">
        <v>93</v>
      </c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76"/>
      <c r="AV14" s="62"/>
    </row>
    <row r="15" spans="1:68" ht="13" x14ac:dyDescent="0.3">
      <c r="A15" s="62"/>
      <c r="B15" s="62"/>
      <c r="C15" s="64" t="s">
        <v>96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221"/>
      <c r="S15" s="222"/>
      <c r="T15" s="222"/>
      <c r="U15" s="223"/>
      <c r="V15" s="62"/>
      <c r="W15" s="62"/>
      <c r="X15" s="62"/>
      <c r="Y15" s="62"/>
      <c r="Z15" s="221"/>
      <c r="AA15" s="222"/>
      <c r="AB15" s="222"/>
      <c r="AC15" s="223"/>
      <c r="AD15" s="62"/>
      <c r="AE15" s="62"/>
      <c r="AF15" s="90" t="s">
        <v>94</v>
      </c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9"/>
      <c r="AV15" s="62"/>
    </row>
    <row r="16" spans="1:68" s="121" customFormat="1" ht="13" hidden="1" x14ac:dyDescent="0.3">
      <c r="A16" s="118"/>
      <c r="B16" s="118"/>
      <c r="C16" s="119" t="s">
        <v>97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228">
        <f>((O12/36.5)*(O13/52)*(1+(O14/100)))</f>
        <v>0</v>
      </c>
      <c r="P16" s="228"/>
      <c r="Q16" s="228"/>
      <c r="R16" s="227">
        <f>(R15*52)/1898</f>
        <v>0</v>
      </c>
      <c r="S16" s="227"/>
      <c r="T16" s="227"/>
      <c r="U16" s="227"/>
      <c r="V16" s="120"/>
      <c r="W16" s="228">
        <f>((W12/36.5)*(W13/52)*(1+(W14/100)))</f>
        <v>0</v>
      </c>
      <c r="X16" s="228"/>
      <c r="Y16" s="228"/>
      <c r="Z16" s="224">
        <f>(Z15*52)/1898</f>
        <v>0</v>
      </c>
      <c r="AA16" s="225"/>
      <c r="AB16" s="225"/>
      <c r="AC16" s="226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</row>
    <row r="17" spans="1:55" x14ac:dyDescent="0.25">
      <c r="A17" s="62"/>
      <c r="B17" s="62"/>
      <c r="C17" s="85" t="s">
        <v>25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116"/>
      <c r="P17" s="116"/>
      <c r="Q17" s="116"/>
      <c r="R17" s="229">
        <f>IF(R15&gt;0,R16,O16)</f>
        <v>0</v>
      </c>
      <c r="S17" s="229"/>
      <c r="T17" s="229"/>
      <c r="U17" s="229"/>
      <c r="V17" s="117"/>
      <c r="W17" s="116"/>
      <c r="X17" s="116"/>
      <c r="Y17" s="116"/>
      <c r="Z17" s="229">
        <f>IF(Z15&gt;0,Z16,W16)</f>
        <v>0</v>
      </c>
      <c r="AA17" s="229"/>
      <c r="AB17" s="229"/>
      <c r="AC17" s="229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</row>
    <row r="18" spans="1:55" x14ac:dyDescent="0.25">
      <c r="A18" s="62"/>
      <c r="B18" s="62"/>
      <c r="C18" s="62" t="s">
        <v>50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212">
        <f>R10*R17</f>
        <v>0</v>
      </c>
      <c r="S18" s="213"/>
      <c r="T18" s="213"/>
      <c r="U18" s="214"/>
      <c r="V18" s="62"/>
      <c r="W18" s="62"/>
      <c r="X18" s="62"/>
      <c r="Y18" s="62"/>
      <c r="Z18" s="212">
        <f>Z10*Z17</f>
        <v>0</v>
      </c>
      <c r="AA18" s="213"/>
      <c r="AB18" s="213"/>
      <c r="AC18" s="214"/>
      <c r="AD18" s="62"/>
      <c r="AE18" s="62"/>
      <c r="AF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</row>
    <row r="19" spans="1:55" x14ac:dyDescent="0.25">
      <c r="A19" s="62"/>
      <c r="B19" s="62"/>
      <c r="C19" s="64" t="s">
        <v>71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208"/>
      <c r="S19" s="208"/>
      <c r="T19" s="208"/>
      <c r="U19" s="208"/>
      <c r="V19" s="62"/>
      <c r="W19" s="62"/>
      <c r="X19" s="62"/>
      <c r="Y19" s="62"/>
      <c r="Z19" s="209"/>
      <c r="AA19" s="210"/>
      <c r="AB19" s="210"/>
      <c r="AC19" s="211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</row>
    <row r="20" spans="1:55" ht="13" x14ac:dyDescent="0.3">
      <c r="A20" s="62"/>
      <c r="B20" s="62"/>
      <c r="C20" s="64" t="s">
        <v>72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177">
        <f>R18+R19</f>
        <v>0</v>
      </c>
      <c r="S20" s="177"/>
      <c r="T20" s="177"/>
      <c r="U20" s="177"/>
      <c r="V20" s="62"/>
      <c r="W20" s="62"/>
      <c r="X20" s="62"/>
      <c r="Y20" s="62"/>
      <c r="Z20" s="177">
        <f>(Z18+Z19)</f>
        <v>0</v>
      </c>
      <c r="AA20" s="177"/>
      <c r="AB20" s="177"/>
      <c r="AC20" s="177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</row>
    <row r="21" spans="1:55" s="112" customFormat="1" ht="25.5" hidden="1" customHeight="1" x14ac:dyDescent="0.3"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13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</row>
    <row r="22" spans="1:55" s="112" customFormat="1" ht="12" hidden="1" customHeight="1" x14ac:dyDescent="0.25">
      <c r="B22" s="191" t="s">
        <v>78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76">
        <f>R20</f>
        <v>0</v>
      </c>
      <c r="S22" s="176"/>
      <c r="T22" s="176"/>
      <c r="U22" s="176"/>
      <c r="Z22" s="176">
        <f>Z20</f>
        <v>0</v>
      </c>
      <c r="AA22" s="176"/>
      <c r="AB22" s="176"/>
      <c r="AC22" s="176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</row>
    <row r="23" spans="1:55" s="112" customFormat="1" ht="12" hidden="1" customHeight="1" x14ac:dyDescent="0.25">
      <c r="B23" s="191" t="s">
        <v>101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76">
        <f>'Standing data'!D11</f>
        <v>8788</v>
      </c>
      <c r="S23" s="176"/>
      <c r="T23" s="176"/>
      <c r="U23" s="176"/>
      <c r="Z23" s="176">
        <f>'Standing data'!D11</f>
        <v>8788</v>
      </c>
      <c r="AA23" s="176"/>
      <c r="AB23" s="176"/>
      <c r="AC23" s="176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</row>
    <row r="24" spans="1:55" s="112" customFormat="1" ht="12" hidden="1" customHeight="1" x14ac:dyDescent="0.25"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76"/>
      <c r="S24" s="176"/>
      <c r="T24" s="176"/>
      <c r="U24" s="176"/>
      <c r="Z24" s="176"/>
      <c r="AA24" s="176"/>
      <c r="AB24" s="176"/>
      <c r="AC24" s="176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</row>
    <row r="25" spans="1:55" s="112" customFormat="1" ht="12" hidden="1" customHeight="1" x14ac:dyDescent="0.25">
      <c r="B25" s="191" t="s">
        <v>102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76">
        <f>R22-R23</f>
        <v>-8788</v>
      </c>
      <c r="S25" s="176"/>
      <c r="T25" s="176"/>
      <c r="U25" s="176"/>
      <c r="Z25" s="176">
        <f>SUM(Z22-Z23)</f>
        <v>-8788</v>
      </c>
      <c r="AA25" s="176"/>
      <c r="AB25" s="176"/>
      <c r="AC25" s="176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</row>
    <row r="26" spans="1:55" s="112" customFormat="1" ht="12" hidden="1" customHeight="1" x14ac:dyDescent="0.25"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76"/>
      <c r="S26" s="176"/>
      <c r="T26" s="176"/>
      <c r="U26" s="176"/>
      <c r="Z26" s="176"/>
      <c r="AA26" s="176"/>
      <c r="AB26" s="176"/>
      <c r="AC26" s="176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</row>
    <row r="27" spans="1:55" s="112" customFormat="1" ht="23.25" hidden="1" customHeight="1" x14ac:dyDescent="0.25">
      <c r="B27" s="191" t="s">
        <v>103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80">
        <f>SUM(R25*'Standing data'!D13)</f>
        <v>-1212.7440000000001</v>
      </c>
      <c r="S27" s="181"/>
      <c r="T27" s="181"/>
      <c r="U27" s="182"/>
      <c r="Z27" s="180">
        <f>SUM(Z25*'Standing data'!D13)</f>
        <v>-1212.7440000000001</v>
      </c>
      <c r="AA27" s="181"/>
      <c r="AB27" s="181"/>
      <c r="AC27" s="182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</row>
    <row r="28" spans="1:55" s="84" customFormat="1" ht="12" customHeight="1" x14ac:dyDescent="0.3">
      <c r="A28" s="62"/>
      <c r="B28" s="43"/>
      <c r="C28" s="61" t="s">
        <v>27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178">
        <f>IF(R27&lt;0, 0, R27)</f>
        <v>0</v>
      </c>
      <c r="S28" s="178"/>
      <c r="T28" s="178"/>
      <c r="U28" s="178"/>
      <c r="V28" s="83"/>
      <c r="W28" s="83"/>
      <c r="X28" s="83"/>
      <c r="Y28" s="83"/>
      <c r="Z28" s="178">
        <f>IF(Z27&lt;0, 0, Z27)</f>
        <v>0</v>
      </c>
      <c r="AA28" s="178"/>
      <c r="AB28" s="178"/>
      <c r="AC28" s="178"/>
      <c r="AD28" s="83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</row>
    <row r="29" spans="1:55" s="84" customFormat="1" ht="12" customHeight="1" x14ac:dyDescent="0.3">
      <c r="A29" s="62"/>
      <c r="B29" s="43"/>
      <c r="C29" s="61" t="s">
        <v>28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179">
        <f>IF(Z11="ERBS",0.225,IF(Z11="USS",0.211,0))</f>
        <v>0.21099999999999999</v>
      </c>
      <c r="P29" s="172"/>
      <c r="Q29" s="83"/>
      <c r="R29" s="173">
        <f>(R20*O29)</f>
        <v>0</v>
      </c>
      <c r="S29" s="174"/>
      <c r="T29" s="174"/>
      <c r="U29" s="175"/>
      <c r="V29" s="83"/>
      <c r="W29" s="179">
        <f>IF(Z11="ERBS",0.225,IF(Z11="USS",0.211,0))</f>
        <v>0.21099999999999999</v>
      </c>
      <c r="X29" s="172"/>
      <c r="Y29" s="83"/>
      <c r="Z29" s="173">
        <f>(Z20*W29)</f>
        <v>0</v>
      </c>
      <c r="AA29" s="174"/>
      <c r="AB29" s="174"/>
      <c r="AC29" s="175"/>
      <c r="AD29" s="83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</row>
    <row r="30" spans="1:55" s="84" customFormat="1" ht="12" customHeight="1" thickBot="1" x14ac:dyDescent="0.35">
      <c r="A30" s="62"/>
      <c r="B30" s="43"/>
      <c r="C30" s="61" t="s">
        <v>108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171">
        <v>5.0000000000000001E-3</v>
      </c>
      <c r="P30" s="172"/>
      <c r="Q30" s="83"/>
      <c r="R30" s="173">
        <f>(R20*O30)</f>
        <v>0</v>
      </c>
      <c r="S30" s="174"/>
      <c r="T30" s="174"/>
      <c r="U30" s="175"/>
      <c r="V30" s="83"/>
      <c r="W30" s="116"/>
      <c r="X30" s="116"/>
      <c r="Y30" s="83"/>
      <c r="Z30" s="173">
        <f>(Z20*O30)</f>
        <v>0</v>
      </c>
      <c r="AA30" s="174"/>
      <c r="AB30" s="174"/>
      <c r="AC30" s="175"/>
      <c r="AD30" s="83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</row>
    <row r="31" spans="1:55" s="84" customFormat="1" ht="12" customHeight="1" thickBot="1" x14ac:dyDescent="0.35">
      <c r="A31" s="62"/>
      <c r="B31" s="43"/>
      <c r="C31" s="86" t="s">
        <v>26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186">
        <f>SUM(R20+R28+R29+R30)</f>
        <v>0</v>
      </c>
      <c r="S31" s="187"/>
      <c r="T31" s="187"/>
      <c r="U31" s="188"/>
      <c r="V31" s="83"/>
      <c r="W31" s="83"/>
      <c r="X31" s="83"/>
      <c r="Y31" s="83"/>
      <c r="Z31" s="186">
        <f>SUM(Z20+Z28+Z29+Z30)</f>
        <v>0</v>
      </c>
      <c r="AA31" s="187"/>
      <c r="AB31" s="187"/>
      <c r="AC31" s="188"/>
      <c r="AD31" s="83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</row>
    <row r="32" spans="1:55" s="84" customFormat="1" ht="12" customHeight="1" x14ac:dyDescent="0.25">
      <c r="A32" s="62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</row>
    <row r="33" spans="1:48" ht="13" thickBot="1" x14ac:dyDescent="0.3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</row>
    <row r="34" spans="1:48" ht="13" thickBot="1" x14ac:dyDescent="0.3">
      <c r="A34" s="62"/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</row>
    <row r="35" spans="1:48" ht="13.5" thickBot="1" x14ac:dyDescent="0.35">
      <c r="A35" s="62"/>
      <c r="B35" s="68"/>
      <c r="C35" s="63" t="s">
        <v>73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3" t="str">
        <f>IF(Z31&gt;R31,"Increase in costs", "Saving in costs")</f>
        <v>Saving in costs</v>
      </c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202">
        <f>Z31-R31</f>
        <v>0</v>
      </c>
      <c r="AA35" s="203"/>
      <c r="AB35" s="203"/>
      <c r="AC35" s="204"/>
      <c r="AD35" s="69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</row>
    <row r="36" spans="1:48" ht="13" thickBot="1" x14ac:dyDescent="0.3">
      <c r="A36" s="62"/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</row>
    <row r="37" spans="1:48" x14ac:dyDescent="0.2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</row>
    <row r="38" spans="1:48" ht="12" customHeight="1" x14ac:dyDescent="0.25">
      <c r="A38" s="62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</row>
    <row r="39" spans="1:48" x14ac:dyDescent="0.25">
      <c r="A39" s="45"/>
      <c r="C39" s="39" t="s">
        <v>51</v>
      </c>
      <c r="D39" s="39"/>
      <c r="E39" s="39"/>
      <c r="F39" s="39"/>
      <c r="G39" s="39"/>
      <c r="H39" s="39"/>
      <c r="I39" s="39"/>
      <c r="J39" s="39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</row>
    <row r="40" spans="1:48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</row>
    <row r="41" spans="1:48" ht="13" x14ac:dyDescent="0.3">
      <c r="A41" s="45"/>
      <c r="B41" s="87"/>
      <c r="C41" s="88" t="s">
        <v>52</v>
      </c>
      <c r="D41" s="73"/>
      <c r="E41" s="73"/>
      <c r="F41" s="73"/>
      <c r="G41" s="74" t="s">
        <v>53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</row>
    <row r="42" spans="1:48" x14ac:dyDescent="0.25">
      <c r="A42" s="45"/>
      <c r="B42" s="89"/>
      <c r="C42" s="64" t="s">
        <v>54</v>
      </c>
      <c r="D42" s="62"/>
      <c r="E42" s="62"/>
      <c r="F42" s="62"/>
      <c r="G42" s="64" t="s">
        <v>55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76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</row>
    <row r="43" spans="1:48" x14ac:dyDescent="0.25">
      <c r="A43" s="45"/>
      <c r="B43" s="89"/>
      <c r="C43" s="64" t="s">
        <v>99</v>
      </c>
      <c r="D43" s="62"/>
      <c r="E43" s="62"/>
      <c r="F43" s="64"/>
      <c r="G43" s="62"/>
      <c r="H43" s="205">
        <f>'Standing data'!B7</f>
        <v>17361</v>
      </c>
      <c r="I43" s="206"/>
      <c r="J43" s="206"/>
      <c r="K43" s="207"/>
      <c r="L43" s="64" t="s">
        <v>56</v>
      </c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76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</row>
    <row r="44" spans="1:48" x14ac:dyDescent="0.25">
      <c r="A44" s="45"/>
      <c r="B44" s="89"/>
      <c r="C44" s="64" t="s">
        <v>57</v>
      </c>
      <c r="D44" s="62"/>
      <c r="E44" s="62"/>
      <c r="F44" s="64"/>
      <c r="G44" s="62"/>
      <c r="H44" s="199">
        <f>H43/100*11</f>
        <v>1909.71</v>
      </c>
      <c r="I44" s="200"/>
      <c r="J44" s="200"/>
      <c r="K44" s="201"/>
      <c r="L44" s="64" t="s">
        <v>56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76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</row>
    <row r="45" spans="1:48" ht="13" x14ac:dyDescent="0.3">
      <c r="A45" s="45"/>
      <c r="B45" s="89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3" t="s">
        <v>43</v>
      </c>
      <c r="P45" s="62"/>
      <c r="Q45" s="62"/>
      <c r="R45" s="62"/>
      <c r="S45" s="62"/>
      <c r="T45" s="62"/>
      <c r="U45" s="62"/>
      <c r="V45" s="62"/>
      <c r="W45" s="63" t="s">
        <v>44</v>
      </c>
      <c r="X45" s="62"/>
      <c r="Y45" s="62"/>
      <c r="Z45" s="62"/>
      <c r="AA45" s="62"/>
      <c r="AB45" s="62"/>
      <c r="AC45" s="62"/>
      <c r="AD45" s="76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</row>
    <row r="46" spans="1:48" x14ac:dyDescent="0.25">
      <c r="A46" s="45"/>
      <c r="B46" s="89"/>
      <c r="C46" s="85" t="s">
        <v>58</v>
      </c>
      <c r="D46" s="62"/>
      <c r="E46" s="62"/>
      <c r="F46" s="62"/>
      <c r="G46" s="62"/>
      <c r="H46" s="62"/>
      <c r="I46" s="62"/>
      <c r="J46" s="64"/>
      <c r="K46" s="62"/>
      <c r="L46" s="62"/>
      <c r="M46" s="62"/>
      <c r="N46" s="62"/>
      <c r="O46" s="62"/>
      <c r="P46" s="62"/>
      <c r="Q46" s="62"/>
      <c r="R46" s="199">
        <f>((R15*52)/1898)*H44</f>
        <v>0</v>
      </c>
      <c r="S46" s="200"/>
      <c r="T46" s="200"/>
      <c r="U46" s="201"/>
      <c r="V46" s="64"/>
      <c r="W46" s="62"/>
      <c r="X46" s="62"/>
      <c r="Y46" s="62"/>
      <c r="Z46" s="199">
        <f>((Z15*52)/1898)*H44</f>
        <v>0</v>
      </c>
      <c r="AA46" s="200"/>
      <c r="AB46" s="200"/>
      <c r="AC46" s="201"/>
      <c r="AD46" s="77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</row>
    <row r="47" spans="1:48" x14ac:dyDescent="0.25">
      <c r="A47" s="45"/>
      <c r="B47" s="90"/>
      <c r="C47" s="91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9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</row>
    <row r="48" spans="1:48" x14ac:dyDescent="0.25">
      <c r="A48" s="45"/>
      <c r="B48" s="62"/>
      <c r="C48" s="62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</row>
    <row r="49" spans="1:48" ht="13" x14ac:dyDescent="0.3">
      <c r="A49" s="45"/>
      <c r="B49" s="87"/>
      <c r="C49" s="88" t="s">
        <v>52</v>
      </c>
      <c r="D49" s="73"/>
      <c r="E49" s="73"/>
      <c r="F49" s="73"/>
      <c r="G49" s="74" t="s">
        <v>59</v>
      </c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</row>
    <row r="50" spans="1:48" x14ac:dyDescent="0.25">
      <c r="A50" s="45"/>
      <c r="B50" s="89"/>
      <c r="C50" s="64" t="s">
        <v>54</v>
      </c>
      <c r="D50" s="62"/>
      <c r="E50" s="62"/>
      <c r="F50" s="62"/>
      <c r="G50" s="64" t="s">
        <v>60</v>
      </c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76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</row>
    <row r="51" spans="1:48" x14ac:dyDescent="0.25">
      <c r="A51" s="45"/>
      <c r="B51" s="89"/>
      <c r="C51" s="64" t="s">
        <v>61</v>
      </c>
      <c r="D51" s="62"/>
      <c r="E51" s="62"/>
      <c r="F51" s="62"/>
      <c r="G51" s="179">
        <v>0.12</v>
      </c>
      <c r="H51" s="195"/>
      <c r="I51" s="195"/>
      <c r="J51" s="195"/>
      <c r="K51" s="17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76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</row>
    <row r="52" spans="1:48" ht="13" x14ac:dyDescent="0.3">
      <c r="A52" s="45"/>
      <c r="B52" s="89"/>
      <c r="C52" s="64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3" t="s">
        <v>43</v>
      </c>
      <c r="P52" s="62"/>
      <c r="Q52" s="62"/>
      <c r="R52" s="62"/>
      <c r="S52" s="62"/>
      <c r="T52" s="62"/>
      <c r="U52" s="62"/>
      <c r="V52" s="62"/>
      <c r="W52" s="63" t="s">
        <v>44</v>
      </c>
      <c r="X52" s="62"/>
      <c r="Y52" s="62"/>
      <c r="Z52" s="62"/>
      <c r="AA52" s="62"/>
      <c r="AB52" s="62"/>
      <c r="AC52" s="62"/>
      <c r="AD52" s="76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</row>
    <row r="53" spans="1:48" x14ac:dyDescent="0.25">
      <c r="A53" s="45"/>
      <c r="B53" s="89"/>
      <c r="C53" s="64" t="s">
        <v>62</v>
      </c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192"/>
      <c r="P53" s="193"/>
      <c r="Q53" s="194"/>
      <c r="R53" s="64" t="s">
        <v>63</v>
      </c>
      <c r="S53" s="62"/>
      <c r="T53" s="62"/>
      <c r="U53" s="62"/>
      <c r="V53" s="62"/>
      <c r="W53" s="192"/>
      <c r="X53" s="193"/>
      <c r="Y53" s="194"/>
      <c r="Z53" s="80" t="s">
        <v>63</v>
      </c>
      <c r="AA53" s="62"/>
      <c r="AB53" s="62"/>
      <c r="AC53" s="62"/>
      <c r="AD53" s="76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</row>
    <row r="54" spans="1:48" x14ac:dyDescent="0.25">
      <c r="A54" s="45"/>
      <c r="B54" s="89"/>
      <c r="C54" s="64" t="s">
        <v>64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192">
        <v>52</v>
      </c>
      <c r="P54" s="193"/>
      <c r="Q54" s="194"/>
      <c r="R54" s="64" t="s">
        <v>65</v>
      </c>
      <c r="S54" s="62"/>
      <c r="T54" s="62"/>
      <c r="U54" s="62"/>
      <c r="V54" s="62"/>
      <c r="W54" s="192">
        <v>52</v>
      </c>
      <c r="X54" s="193"/>
      <c r="Y54" s="194"/>
      <c r="Z54" s="80" t="s">
        <v>65</v>
      </c>
      <c r="AA54" s="62"/>
      <c r="AB54" s="62"/>
      <c r="AC54" s="62"/>
      <c r="AD54" s="76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</row>
    <row r="55" spans="1:48" x14ac:dyDescent="0.25">
      <c r="A55" s="45"/>
      <c r="B55" s="89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179">
        <f>O53*O54</f>
        <v>0</v>
      </c>
      <c r="P55" s="195"/>
      <c r="Q55" s="172"/>
      <c r="R55" s="64" t="s">
        <v>66</v>
      </c>
      <c r="S55" s="62"/>
      <c r="T55" s="62"/>
      <c r="U55" s="62"/>
      <c r="V55" s="62"/>
      <c r="W55" s="179">
        <f>W53*W54</f>
        <v>0</v>
      </c>
      <c r="X55" s="195"/>
      <c r="Y55" s="172"/>
      <c r="Z55" s="80" t="s">
        <v>66</v>
      </c>
      <c r="AA55" s="62"/>
      <c r="AB55" s="62"/>
      <c r="AC55" s="62"/>
      <c r="AD55" s="76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</row>
    <row r="56" spans="1:48" x14ac:dyDescent="0.25">
      <c r="A56" s="45"/>
      <c r="B56" s="89"/>
      <c r="C56" s="85" t="s">
        <v>67</v>
      </c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196">
        <f>O55*G51</f>
        <v>0</v>
      </c>
      <c r="S56" s="197"/>
      <c r="T56" s="197"/>
      <c r="U56" s="198"/>
      <c r="V56" s="62"/>
      <c r="W56" s="62"/>
      <c r="X56" s="62"/>
      <c r="Y56" s="62"/>
      <c r="Z56" s="196">
        <f>W55*G51</f>
        <v>0</v>
      </c>
      <c r="AA56" s="197"/>
      <c r="AB56" s="197"/>
      <c r="AC56" s="198"/>
      <c r="AD56" s="76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</row>
    <row r="57" spans="1:48" x14ac:dyDescent="0.25">
      <c r="A57" s="45"/>
      <c r="B57" s="90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9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</row>
    <row r="58" spans="1:48" x14ac:dyDescent="0.25">
      <c r="A58" s="45"/>
      <c r="B58" s="62"/>
      <c r="C58" s="62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</row>
    <row r="59" spans="1:48" ht="13" x14ac:dyDescent="0.3">
      <c r="A59" s="45"/>
      <c r="B59" s="87"/>
      <c r="C59" s="88" t="s">
        <v>52</v>
      </c>
      <c r="D59" s="73"/>
      <c r="E59" s="73"/>
      <c r="F59" s="73"/>
      <c r="G59" s="74" t="s">
        <v>68</v>
      </c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</row>
    <row r="60" spans="1:48" x14ac:dyDescent="0.25">
      <c r="A60" s="45"/>
      <c r="B60" s="89"/>
      <c r="C60" s="64" t="s">
        <v>54</v>
      </c>
      <c r="D60" s="62"/>
      <c r="E60" s="62"/>
      <c r="F60" s="62"/>
      <c r="G60" s="64" t="s">
        <v>69</v>
      </c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76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</row>
    <row r="61" spans="1:48" ht="13" x14ac:dyDescent="0.3">
      <c r="A61" s="45"/>
      <c r="B61" s="89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3" t="s">
        <v>43</v>
      </c>
      <c r="P61" s="62"/>
      <c r="Q61" s="62"/>
      <c r="R61" s="62"/>
      <c r="S61" s="62"/>
      <c r="T61" s="62"/>
      <c r="U61" s="62"/>
      <c r="V61" s="62"/>
      <c r="W61" s="63" t="s">
        <v>44</v>
      </c>
      <c r="X61" s="62"/>
      <c r="Y61" s="62"/>
      <c r="Z61" s="62"/>
      <c r="AA61" s="62"/>
      <c r="AB61" s="62"/>
      <c r="AC61" s="62"/>
      <c r="AD61" s="76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</row>
    <row r="62" spans="1:48" x14ac:dyDescent="0.25">
      <c r="A62" s="45"/>
      <c r="B62" s="89"/>
      <c r="C62" s="64" t="s">
        <v>70</v>
      </c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192"/>
      <c r="P62" s="193"/>
      <c r="Q62" s="194"/>
      <c r="R62" s="64" t="s">
        <v>63</v>
      </c>
      <c r="S62" s="62"/>
      <c r="T62" s="62"/>
      <c r="U62" s="62"/>
      <c r="V62" s="62"/>
      <c r="W62" s="192"/>
      <c r="X62" s="193"/>
      <c r="Y62" s="194"/>
      <c r="Z62" s="64" t="s">
        <v>63</v>
      </c>
      <c r="AA62" s="62"/>
      <c r="AB62" s="62"/>
      <c r="AC62" s="62"/>
      <c r="AD62" s="76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</row>
    <row r="63" spans="1:48" x14ac:dyDescent="0.25">
      <c r="A63" s="45"/>
      <c r="B63" s="89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192">
        <v>52</v>
      </c>
      <c r="P63" s="193"/>
      <c r="Q63" s="194"/>
      <c r="R63" s="64" t="s">
        <v>65</v>
      </c>
      <c r="S63" s="62"/>
      <c r="T63" s="62"/>
      <c r="U63" s="62"/>
      <c r="V63" s="62"/>
      <c r="W63" s="192">
        <v>52</v>
      </c>
      <c r="X63" s="193"/>
      <c r="Y63" s="194"/>
      <c r="Z63" s="64" t="s">
        <v>65</v>
      </c>
      <c r="AA63" s="62"/>
      <c r="AB63" s="62"/>
      <c r="AC63" s="62"/>
      <c r="AD63" s="76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</row>
    <row r="64" spans="1:48" x14ac:dyDescent="0.25">
      <c r="A64" s="45"/>
      <c r="B64" s="89"/>
      <c r="C64" s="64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179">
        <f>O62*O63</f>
        <v>0</v>
      </c>
      <c r="P64" s="195"/>
      <c r="Q64" s="172"/>
      <c r="R64" s="64" t="s">
        <v>66</v>
      </c>
      <c r="S64" s="62"/>
      <c r="T64" s="62"/>
      <c r="U64" s="62"/>
      <c r="V64" s="62"/>
      <c r="W64" s="179">
        <f>W62*W63</f>
        <v>0</v>
      </c>
      <c r="X64" s="195"/>
      <c r="Y64" s="172"/>
      <c r="Z64" s="64" t="s">
        <v>66</v>
      </c>
      <c r="AA64" s="62"/>
      <c r="AB64" s="62"/>
      <c r="AC64" s="62"/>
      <c r="AD64" s="76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</row>
    <row r="65" spans="1:48" x14ac:dyDescent="0.25">
      <c r="A65" s="45"/>
      <c r="B65" s="89"/>
      <c r="C65" s="64" t="s">
        <v>67</v>
      </c>
      <c r="D65" s="62"/>
      <c r="E65" s="62"/>
      <c r="F65" s="62"/>
      <c r="G65" s="62"/>
      <c r="H65" s="62"/>
      <c r="I65" s="62"/>
      <c r="J65" s="81"/>
      <c r="K65" s="82"/>
      <c r="L65" s="82"/>
      <c r="M65" s="62"/>
      <c r="N65" s="62"/>
      <c r="O65" s="64"/>
      <c r="P65" s="62"/>
      <c r="Q65" s="62"/>
      <c r="R65" s="183">
        <f>(((R10/52)/36.5)/3)*O64</f>
        <v>0</v>
      </c>
      <c r="S65" s="184"/>
      <c r="T65" s="184"/>
      <c r="U65" s="185"/>
      <c r="V65" s="62"/>
      <c r="W65" s="64"/>
      <c r="X65" s="62"/>
      <c r="Y65" s="62"/>
      <c r="Z65" s="183">
        <f>(((Z10/52)/36.5)/3)*W64</f>
        <v>0</v>
      </c>
      <c r="AA65" s="184"/>
      <c r="AB65" s="184"/>
      <c r="AC65" s="185"/>
      <c r="AD65" s="76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</row>
    <row r="66" spans="1:48" x14ac:dyDescent="0.25">
      <c r="A66" s="45"/>
      <c r="B66" s="90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9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</row>
    <row r="67" spans="1:48" x14ac:dyDescent="0.25">
      <c r="A67" s="45"/>
      <c r="B67" s="62"/>
      <c r="C67" s="62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</row>
  </sheetData>
  <mergeCells count="78">
    <mergeCell ref="R10:U10"/>
    <mergeCell ref="Z10:AC10"/>
    <mergeCell ref="R11:U11"/>
    <mergeCell ref="Z11:AC11"/>
    <mergeCell ref="O12:Q12"/>
    <mergeCell ref="W12:Y12"/>
    <mergeCell ref="R19:U19"/>
    <mergeCell ref="Z19:AC19"/>
    <mergeCell ref="R18:U18"/>
    <mergeCell ref="Z18:AC18"/>
    <mergeCell ref="O13:Q13"/>
    <mergeCell ref="W13:Y13"/>
    <mergeCell ref="O14:Q14"/>
    <mergeCell ref="W14:Y14"/>
    <mergeCell ref="R15:U15"/>
    <mergeCell ref="Z15:AC15"/>
    <mergeCell ref="Z16:AC16"/>
    <mergeCell ref="R16:U16"/>
    <mergeCell ref="O16:Q16"/>
    <mergeCell ref="W16:Y16"/>
    <mergeCell ref="R17:U17"/>
    <mergeCell ref="Z17:AC17"/>
    <mergeCell ref="Z35:AC35"/>
    <mergeCell ref="H43:K43"/>
    <mergeCell ref="B23:Q23"/>
    <mergeCell ref="B24:Q24"/>
    <mergeCell ref="B25:Q25"/>
    <mergeCell ref="R26:U26"/>
    <mergeCell ref="R27:U27"/>
    <mergeCell ref="B26:Q26"/>
    <mergeCell ref="B27:Q27"/>
    <mergeCell ref="O29:P29"/>
    <mergeCell ref="Z31:AC31"/>
    <mergeCell ref="Z24:AC24"/>
    <mergeCell ref="Z25:AC25"/>
    <mergeCell ref="Z26:AC26"/>
    <mergeCell ref="R23:U23"/>
    <mergeCell ref="R24:U24"/>
    <mergeCell ref="W55:Y55"/>
    <mergeCell ref="R56:U56"/>
    <mergeCell ref="Z56:AC56"/>
    <mergeCell ref="H44:K44"/>
    <mergeCell ref="R46:U46"/>
    <mergeCell ref="Z46:AC46"/>
    <mergeCell ref="G51:K51"/>
    <mergeCell ref="O53:Q53"/>
    <mergeCell ref="W53:Y53"/>
    <mergeCell ref="R65:U65"/>
    <mergeCell ref="R31:U31"/>
    <mergeCell ref="Z65:AC65"/>
    <mergeCell ref="B21:Q21"/>
    <mergeCell ref="S21:V21"/>
    <mergeCell ref="W21:AD21"/>
    <mergeCell ref="B22:Q22"/>
    <mergeCell ref="O62:Q62"/>
    <mergeCell ref="W62:Y62"/>
    <mergeCell ref="O63:Q63"/>
    <mergeCell ref="W63:Y63"/>
    <mergeCell ref="O64:Q64"/>
    <mergeCell ref="W64:Y64"/>
    <mergeCell ref="O54:Q54"/>
    <mergeCell ref="W54:Y54"/>
    <mergeCell ref="O55:Q55"/>
    <mergeCell ref="O30:P30"/>
    <mergeCell ref="R30:U30"/>
    <mergeCell ref="Z30:AC30"/>
    <mergeCell ref="R25:U25"/>
    <mergeCell ref="R20:U20"/>
    <mergeCell ref="R28:U28"/>
    <mergeCell ref="R29:U29"/>
    <mergeCell ref="Z28:AC28"/>
    <mergeCell ref="Z29:AC29"/>
    <mergeCell ref="W29:X29"/>
    <mergeCell ref="Z20:AC20"/>
    <mergeCell ref="Z22:AC22"/>
    <mergeCell ref="Z23:AC23"/>
    <mergeCell ref="R22:U22"/>
    <mergeCell ref="Z27:AC27"/>
  </mergeCells>
  <dataValidations count="1">
    <dataValidation type="list" allowBlank="1" showInputMessage="1" showErrorMessage="1" sqref="Z11:AC11 R11:U11">
      <formula1>$BF$1:$BF$4</formula1>
    </dataValidation>
  </dataValidations>
  <hyperlinks>
    <hyperlink ref="AF7" r:id="rId1" display="http://nicecalculator.hmrc.gov.uk/Class1NICs1.aspx"/>
  </hyperlinks>
  <pageMargins left="0.31496062992125984" right="0.31496062992125984" top="0.35433070866141736" bottom="0.35433070866141736" header="0.31496062992125984" footer="0.31496062992125984"/>
  <pageSetup paperSize="9" scale="8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</vt:lpstr>
      <vt:lpstr>Standing data</vt:lpstr>
      <vt:lpstr>Current to Proposed costs</vt:lpstr>
      <vt:lpstr>'Current to Proposed costs'!Print_Area</vt:lpstr>
      <vt:lpstr>'Standing data'!Print_Area</vt:lpstr>
      <vt:lpstr>Table!Print_Area</vt:lpstr>
    </vt:vector>
  </TitlesOfParts>
  <Company>University of Exeter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Johnson</dc:creator>
  <cp:lastModifiedBy>Allen, Becky</cp:lastModifiedBy>
  <cp:lastPrinted>2017-11-15T09:00:51Z</cp:lastPrinted>
  <dcterms:created xsi:type="dcterms:W3CDTF">2006-07-28T14:39:57Z</dcterms:created>
  <dcterms:modified xsi:type="dcterms:W3CDTF">2020-08-04T08:39:59Z</dcterms:modified>
</cp:coreProperties>
</file>