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versityofexeteruk-my.sharepoint.com/personal/rebecca_allen_exeter_ac_uk/Documents/Oncosts and pay calculators/Payscales oncosts/"/>
    </mc:Choice>
  </mc:AlternateContent>
  <xr:revisionPtr revIDLastSave="4" documentId="8_{6703E1FD-5C1D-4F42-90DC-5CAD2884D1C6}" xr6:coauthVersionLast="47" xr6:coauthVersionMax="47" xr10:uidLastSave="{C4F397BF-5745-41F3-A661-82B78C3D6981}"/>
  <bookViews>
    <workbookView xWindow="-110" yWindow="-110" windowWidth="19420" windowHeight="10420" xr2:uid="{00000000-000D-0000-FFFF-FFFF00000000}"/>
  </bookViews>
  <sheets>
    <sheet name="Table" sheetId="8" r:id="rId1"/>
    <sheet name="Standing data" sheetId="2" state="hidden" r:id="rId2"/>
    <sheet name="Current to Proposed costs" sheetId="10" r:id="rId3"/>
  </sheets>
  <externalReferences>
    <externalReference r:id="rId4"/>
    <externalReference r:id="rId5"/>
  </externalReferences>
  <definedNames>
    <definedName name="holiday">[1]Calculations!#REF!</definedName>
    <definedName name="list1">[2]Workings!$A$3:$A$6</definedName>
    <definedName name="pension2">[1]Calculations!$A$1:$A$3</definedName>
    <definedName name="_xlnm.Print_Area" localSheetId="2">'Current to Proposed costs'!$A$1:$AE$37</definedName>
    <definedName name="_xlnm.Print_Area" localSheetId="1">'Standing data'!$A$1:$H$19</definedName>
    <definedName name="_xlnm.Print_Area" localSheetId="0">Table!$A$1:$Q$86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9" i="10" l="1"/>
  <c r="O29" i="10"/>
  <c r="O67" i="8" l="1"/>
  <c r="O68" i="8"/>
  <c r="O69" i="8"/>
  <c r="O70" i="8"/>
  <c r="N67" i="8"/>
  <c r="N68" i="8"/>
  <c r="N69" i="8"/>
  <c r="N70" i="8"/>
  <c r="K67" i="8"/>
  <c r="K68" i="8"/>
  <c r="K69" i="8"/>
  <c r="K70" i="8"/>
  <c r="J67" i="8"/>
  <c r="J68" i="8"/>
  <c r="J69" i="8"/>
  <c r="J70" i="8"/>
  <c r="I67" i="8"/>
  <c r="I68" i="8"/>
  <c r="I69" i="8"/>
  <c r="I70" i="8"/>
  <c r="L70" i="8" l="1"/>
  <c r="L69" i="8"/>
  <c r="L67" i="8"/>
  <c r="P67" i="8"/>
  <c r="L68" i="8"/>
  <c r="P69" i="8"/>
  <c r="P68" i="8"/>
  <c r="P70" i="8"/>
  <c r="K85" i="8"/>
  <c r="K86" i="8"/>
  <c r="K84" i="8"/>
  <c r="K83" i="8"/>
  <c r="K82" i="8"/>
  <c r="K81" i="8"/>
  <c r="K80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8" i="8"/>
  <c r="O49" i="8"/>
  <c r="O50" i="8"/>
  <c r="O51" i="8"/>
  <c r="O52" i="8"/>
  <c r="O53" i="8"/>
  <c r="O54" i="8"/>
  <c r="O56" i="8"/>
  <c r="O57" i="8"/>
  <c r="O58" i="8"/>
  <c r="O59" i="8"/>
  <c r="O60" i="8"/>
  <c r="O62" i="8"/>
  <c r="O63" i="8"/>
  <c r="O64" i="8"/>
  <c r="O65" i="8"/>
  <c r="O66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8" i="8"/>
  <c r="K49" i="8"/>
  <c r="K50" i="8"/>
  <c r="K51" i="8"/>
  <c r="K52" i="8"/>
  <c r="K53" i="8"/>
  <c r="K54" i="8"/>
  <c r="K56" i="8"/>
  <c r="K57" i="8"/>
  <c r="K58" i="8"/>
  <c r="K59" i="8"/>
  <c r="K60" i="8"/>
  <c r="K62" i="8"/>
  <c r="K63" i="8"/>
  <c r="K64" i="8"/>
  <c r="K65" i="8"/>
  <c r="K66" i="8"/>
  <c r="N9" i="8" l="1"/>
  <c r="P9" i="8" s="1"/>
  <c r="J9" i="8" l="1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8" i="8"/>
  <c r="J49" i="8"/>
  <c r="J50" i="8"/>
  <c r="J51" i="8"/>
  <c r="J52" i="8"/>
  <c r="J53" i="8"/>
  <c r="J54" i="8"/>
  <c r="J56" i="8"/>
  <c r="J57" i="8"/>
  <c r="J58" i="8"/>
  <c r="J59" i="8"/>
  <c r="J60" i="8"/>
  <c r="J62" i="8"/>
  <c r="J63" i="8"/>
  <c r="J64" i="8"/>
  <c r="J65" i="8"/>
  <c r="J66" i="8"/>
  <c r="J80" i="8"/>
  <c r="J81" i="8"/>
  <c r="J82" i="8"/>
  <c r="J83" i="8"/>
  <c r="J84" i="8"/>
  <c r="J85" i="8"/>
  <c r="H43" i="10" l="1"/>
  <c r="H44" i="10" l="1"/>
  <c r="W14" i="10"/>
  <c r="Z16" i="10" s="1"/>
  <c r="O14" i="10"/>
  <c r="O16" i="10" s="1"/>
  <c r="W64" i="10"/>
  <c r="Z65" i="10" s="1"/>
  <c r="O64" i="10"/>
  <c r="R65" i="10" s="1"/>
  <c r="W55" i="10"/>
  <c r="Z56" i="10" s="1"/>
  <c r="O55" i="10"/>
  <c r="R56" i="10" s="1"/>
  <c r="J86" i="8"/>
  <c r="Z23" i="10" l="1"/>
  <c r="R23" i="10"/>
  <c r="I83" i="8"/>
  <c r="L83" i="8" s="1"/>
  <c r="I40" i="8"/>
  <c r="L40" i="8" s="1"/>
  <c r="I17" i="8"/>
  <c r="L17" i="8" s="1"/>
  <c r="I29" i="8"/>
  <c r="L29" i="8" s="1"/>
  <c r="I41" i="8"/>
  <c r="L41" i="8" s="1"/>
  <c r="I48" i="8"/>
  <c r="L48" i="8" s="1"/>
  <c r="I59" i="8"/>
  <c r="L59" i="8" s="1"/>
  <c r="I56" i="8"/>
  <c r="L56" i="8" s="1"/>
  <c r="I10" i="8"/>
  <c r="L10" i="8" s="1"/>
  <c r="I84" i="8"/>
  <c r="L84" i="8" s="1"/>
  <c r="I21" i="8"/>
  <c r="L21" i="8" s="1"/>
  <c r="I37" i="8"/>
  <c r="L37" i="8" s="1"/>
  <c r="I13" i="8"/>
  <c r="L13" i="8" s="1"/>
  <c r="I81" i="8"/>
  <c r="L81" i="8" s="1"/>
  <c r="I85" i="8"/>
  <c r="L85" i="8" s="1"/>
  <c r="I80" i="8"/>
  <c r="L80" i="8" s="1"/>
  <c r="I18" i="8"/>
  <c r="L18" i="8" s="1"/>
  <c r="I22" i="8"/>
  <c r="L22" i="8" s="1"/>
  <c r="I26" i="8"/>
  <c r="L26" i="8" s="1"/>
  <c r="I30" i="8"/>
  <c r="L30" i="8" s="1"/>
  <c r="I34" i="8"/>
  <c r="L34" i="8" s="1"/>
  <c r="I38" i="8"/>
  <c r="L38" i="8" s="1"/>
  <c r="I42" i="8"/>
  <c r="L42" i="8" s="1"/>
  <c r="I44" i="8"/>
  <c r="L44" i="8" s="1"/>
  <c r="I65" i="8"/>
  <c r="L65" i="8" s="1"/>
  <c r="I82" i="8"/>
  <c r="L82" i="8" s="1"/>
  <c r="I86" i="8"/>
  <c r="L86" i="8" s="1"/>
  <c r="I15" i="8"/>
  <c r="L15" i="8" s="1"/>
  <c r="I19" i="8"/>
  <c r="L19" i="8" s="1"/>
  <c r="I23" i="8"/>
  <c r="L23" i="8" s="1"/>
  <c r="I27" i="8"/>
  <c r="L27" i="8" s="1"/>
  <c r="I31" i="8"/>
  <c r="L31" i="8" s="1"/>
  <c r="I35" i="8"/>
  <c r="L35" i="8" s="1"/>
  <c r="I39" i="8"/>
  <c r="L39" i="8" s="1"/>
  <c r="I43" i="8"/>
  <c r="L43" i="8" s="1"/>
  <c r="I45" i="8"/>
  <c r="L45" i="8" s="1"/>
  <c r="I50" i="8"/>
  <c r="L50" i="8" s="1"/>
  <c r="I52" i="8"/>
  <c r="L52" i="8" s="1"/>
  <c r="I57" i="8"/>
  <c r="L57" i="8" s="1"/>
  <c r="I62" i="8"/>
  <c r="L62" i="8" s="1"/>
  <c r="I66" i="8"/>
  <c r="L66" i="8" s="1"/>
  <c r="I11" i="8"/>
  <c r="L11" i="8" s="1"/>
  <c r="I9" i="8"/>
  <c r="L9" i="8" s="1"/>
  <c r="I16" i="8"/>
  <c r="L16" i="8" s="1"/>
  <c r="I20" i="8"/>
  <c r="L20" i="8" s="1"/>
  <c r="I24" i="8"/>
  <c r="L24" i="8" s="1"/>
  <c r="I28" i="8"/>
  <c r="L28" i="8" s="1"/>
  <c r="I32" i="8"/>
  <c r="L32" i="8" s="1"/>
  <c r="I36" i="8"/>
  <c r="L36" i="8" s="1"/>
  <c r="I46" i="8"/>
  <c r="L46" i="8" s="1"/>
  <c r="I51" i="8"/>
  <c r="L51" i="8" s="1"/>
  <c r="I53" i="8"/>
  <c r="L53" i="8" s="1"/>
  <c r="I58" i="8"/>
  <c r="L58" i="8" s="1"/>
  <c r="I63" i="8"/>
  <c r="L63" i="8" s="1"/>
  <c r="I12" i="8"/>
  <c r="L12" i="8" s="1"/>
  <c r="I25" i="8"/>
  <c r="L25" i="8" s="1"/>
  <c r="I33" i="8"/>
  <c r="L33" i="8" s="1"/>
  <c r="I54" i="8"/>
  <c r="L54" i="8" s="1"/>
  <c r="I64" i="8"/>
  <c r="L64" i="8" s="1"/>
  <c r="I49" i="8"/>
  <c r="L49" i="8" s="1"/>
  <c r="I60" i="8"/>
  <c r="L60" i="8" s="1"/>
  <c r="I14" i="8"/>
  <c r="L14" i="8" s="1"/>
  <c r="N10" i="8"/>
  <c r="P10" i="8" s="1"/>
  <c r="N14" i="8"/>
  <c r="P14" i="8" s="1"/>
  <c r="N18" i="8"/>
  <c r="P18" i="8" s="1"/>
  <c r="N22" i="8"/>
  <c r="P22" i="8" s="1"/>
  <c r="N25" i="8"/>
  <c r="P25" i="8" s="1"/>
  <c r="N27" i="8"/>
  <c r="P27" i="8" s="1"/>
  <c r="N29" i="8"/>
  <c r="P29" i="8" s="1"/>
  <c r="N31" i="8"/>
  <c r="P31" i="8" s="1"/>
  <c r="N33" i="8"/>
  <c r="P33" i="8" s="1"/>
  <c r="N35" i="8"/>
  <c r="P35" i="8" s="1"/>
  <c r="N37" i="8"/>
  <c r="P37" i="8" s="1"/>
  <c r="N39" i="8"/>
  <c r="P39" i="8" s="1"/>
  <c r="N41" i="8"/>
  <c r="P41" i="8" s="1"/>
  <c r="N43" i="8"/>
  <c r="P43" i="8" s="1"/>
  <c r="N45" i="8"/>
  <c r="P45" i="8" s="1"/>
  <c r="N48" i="8"/>
  <c r="P48" i="8" s="1"/>
  <c r="N50" i="8"/>
  <c r="P50" i="8" s="1"/>
  <c r="N52" i="8"/>
  <c r="P52" i="8" s="1"/>
  <c r="N54" i="8"/>
  <c r="P54" i="8" s="1"/>
  <c r="N57" i="8"/>
  <c r="P57" i="8" s="1"/>
  <c r="N11" i="8"/>
  <c r="P11" i="8" s="1"/>
  <c r="N15" i="8"/>
  <c r="P15" i="8" s="1"/>
  <c r="N19" i="8"/>
  <c r="P19" i="8" s="1"/>
  <c r="N23" i="8"/>
  <c r="P23" i="8" s="1"/>
  <c r="N59" i="8"/>
  <c r="P59" i="8" s="1"/>
  <c r="N66" i="8"/>
  <c r="P66" i="8" s="1"/>
  <c r="N12" i="8"/>
  <c r="P12" i="8" s="1"/>
  <c r="N16" i="8"/>
  <c r="P16" i="8" s="1"/>
  <c r="N20" i="8"/>
  <c r="P20" i="8" s="1"/>
  <c r="N24" i="8"/>
  <c r="P24" i="8" s="1"/>
  <c r="N26" i="8"/>
  <c r="P26" i="8" s="1"/>
  <c r="N28" i="8"/>
  <c r="P28" i="8" s="1"/>
  <c r="N30" i="8"/>
  <c r="P30" i="8" s="1"/>
  <c r="N32" i="8"/>
  <c r="P32" i="8" s="1"/>
  <c r="N34" i="8"/>
  <c r="P34" i="8" s="1"/>
  <c r="N36" i="8"/>
  <c r="P36" i="8" s="1"/>
  <c r="N38" i="8"/>
  <c r="P38" i="8" s="1"/>
  <c r="N40" i="8"/>
  <c r="P40" i="8" s="1"/>
  <c r="N42" i="8"/>
  <c r="P42" i="8" s="1"/>
  <c r="N44" i="8"/>
  <c r="P44" i="8" s="1"/>
  <c r="N46" i="8"/>
  <c r="P46" i="8" s="1"/>
  <c r="N49" i="8"/>
  <c r="P49" i="8" s="1"/>
  <c r="N51" i="8"/>
  <c r="P51" i="8" s="1"/>
  <c r="N53" i="8"/>
  <c r="P53" i="8" s="1"/>
  <c r="N62" i="8"/>
  <c r="P62" i="8" s="1"/>
  <c r="N13" i="8"/>
  <c r="P13" i="8" s="1"/>
  <c r="N17" i="8"/>
  <c r="P17" i="8" s="1"/>
  <c r="N21" i="8"/>
  <c r="P21" i="8" s="1"/>
  <c r="N56" i="8"/>
  <c r="P56" i="8" s="1"/>
  <c r="N58" i="8"/>
  <c r="P58" i="8" s="1"/>
  <c r="N60" i="8"/>
  <c r="P60" i="8" s="1"/>
  <c r="N63" i="8"/>
  <c r="P63" i="8" s="1"/>
  <c r="N65" i="8"/>
  <c r="P65" i="8" s="1"/>
  <c r="N64" i="8"/>
  <c r="P64" i="8" s="1"/>
  <c r="W16" i="10"/>
  <c r="Z17" i="10" s="1"/>
  <c r="Z18" i="10" s="1"/>
  <c r="Z20" i="10" s="1"/>
  <c r="R46" i="10"/>
  <c r="Z46" i="10"/>
  <c r="R16" i="10"/>
  <c r="R17" i="10" s="1"/>
  <c r="R18" i="10" s="1"/>
  <c r="Z30" i="10" l="1"/>
  <c r="Z29" i="10"/>
  <c r="Z22" i="10"/>
  <c r="Z25" i="10" s="1"/>
  <c r="Z27" i="10" s="1"/>
  <c r="Z28" i="10" s="1"/>
  <c r="R20" i="10"/>
  <c r="R30" i="10" l="1"/>
  <c r="R29" i="10"/>
  <c r="R22" i="10"/>
  <c r="Z31" i="10"/>
  <c r="R25" i="10" l="1"/>
  <c r="R27" i="10" l="1"/>
  <c r="R28" i="10" s="1"/>
  <c r="R31" i="10" l="1"/>
  <c r="Z35" i="10" l="1"/>
  <c r="O35" i="10"/>
</calcChain>
</file>

<file path=xl/sharedStrings.xml><?xml version="1.0" encoding="utf-8"?>
<sst xmlns="http://schemas.openxmlformats.org/spreadsheetml/2006/main" count="223" uniqueCount="123">
  <si>
    <t>Spine Point</t>
  </si>
  <si>
    <t>D</t>
  </si>
  <si>
    <t>C</t>
  </si>
  <si>
    <t>B</t>
  </si>
  <si>
    <t>H</t>
  </si>
  <si>
    <t>E</t>
  </si>
  <si>
    <t>F</t>
  </si>
  <si>
    <t>G</t>
  </si>
  <si>
    <t>Salaries as at:</t>
  </si>
  <si>
    <t>NI Data Used as at:</t>
  </si>
  <si>
    <t>Per Week</t>
  </si>
  <si>
    <t>Per Annum</t>
  </si>
  <si>
    <t>Lower Earnings Limit</t>
  </si>
  <si>
    <t>Upper Earnings Limit</t>
  </si>
  <si>
    <t>Not In Pension Scheme</t>
  </si>
  <si>
    <t xml:space="preserve">NI  </t>
  </si>
  <si>
    <t xml:space="preserve">Total  </t>
  </si>
  <si>
    <t>New staff in Grade E will join USS.</t>
  </si>
  <si>
    <t>= incremental points</t>
  </si>
  <si>
    <t>= contribution points</t>
  </si>
  <si>
    <t>USS ER contribution</t>
  </si>
  <si>
    <t>USS</t>
  </si>
  <si>
    <t>ERBS</t>
  </si>
  <si>
    <t>FTE</t>
  </si>
  <si>
    <t>Total cost</t>
  </si>
  <si>
    <t>Employer's NIC</t>
  </si>
  <si>
    <t>Employer's Pension Contribution</t>
  </si>
  <si>
    <t>Please choose:</t>
  </si>
  <si>
    <t>In Pension Scheme (not PSX)</t>
  </si>
  <si>
    <t>Pension Scheme</t>
  </si>
  <si>
    <t>Employer pension contribution</t>
  </si>
  <si>
    <t xml:space="preserve">It should be noted that the above tables have been prepared on the assumption that Grade E staff within a pension scheme are members of USS. </t>
  </si>
  <si>
    <t>Per month</t>
  </si>
  <si>
    <t>Secondary Earnings Threshold</t>
  </si>
  <si>
    <t>Rate for earnings above UAP</t>
  </si>
  <si>
    <t>Employer NIC =</t>
  </si>
  <si>
    <t>Notes</t>
  </si>
  <si>
    <t>http://nicecalculator.hmrc.gov.uk/Class1NICs1.aspx</t>
  </si>
  <si>
    <t>Employer NIC</t>
  </si>
  <si>
    <t>Note: this table will give the oncost figure for a full-time whole year appointment only.</t>
  </si>
  <si>
    <t>Current costs:</t>
  </si>
  <si>
    <t>Proposed costs:</t>
  </si>
  <si>
    <t>Input full time annual salary</t>
  </si>
  <si>
    <t xml:space="preserve">Choose pension scheme </t>
  </si>
  <si>
    <t>Hours</t>
  </si>
  <si>
    <t>Weeks</t>
  </si>
  <si>
    <t>Holiday %</t>
  </si>
  <si>
    <t>Pro rata salary:</t>
  </si>
  <si>
    <t>Pensionable allowances:</t>
  </si>
  <si>
    <t>Name:</t>
  </si>
  <si>
    <t>Shift Alllowance</t>
  </si>
  <si>
    <t>Payment:</t>
  </si>
  <si>
    <t>11% of point 3, pro rata for part-time staff</t>
  </si>
  <si>
    <t>per annum</t>
  </si>
  <si>
    <t>11%:</t>
  </si>
  <si>
    <t>Costs for posts using FTE shown above:</t>
  </si>
  <si>
    <t>Split Shift Allowance</t>
  </si>
  <si>
    <t>12p per hour per day on split</t>
  </si>
  <si>
    <t>Rate:</t>
  </si>
  <si>
    <t>Number of hours per week on split</t>
  </si>
  <si>
    <t>per week</t>
  </si>
  <si>
    <t>Number of weeks</t>
  </si>
  <si>
    <t>weeks</t>
  </si>
  <si>
    <t>total hours</t>
  </si>
  <si>
    <t>Costs for posts:</t>
  </si>
  <si>
    <t>Night Allowance</t>
  </si>
  <si>
    <t>1/3 of salary for hours worked between 10pm-6am</t>
  </si>
  <si>
    <t>Number of hours worked between 10-6</t>
  </si>
  <si>
    <t>Pensionable allowances, per annum (see notes below):</t>
  </si>
  <si>
    <t>Total pro rata pensionable salary:</t>
  </si>
  <si>
    <t>Effect of proposal:</t>
  </si>
  <si>
    <t>Insert figures into the blue cells as appropriate</t>
  </si>
  <si>
    <t>For the latest rates see HMRC web:</t>
  </si>
  <si>
    <t>http://www.hmrc.gov.uk/rates/nic.htm</t>
  </si>
  <si>
    <t>Check calculations in the s/sheet at:</t>
  </si>
  <si>
    <t>Salary</t>
  </si>
  <si>
    <t>managers in Campus Services should continue to use both columns.</t>
  </si>
  <si>
    <t xml:space="preserve">To estimate the costs for your proposal use the "Proposed costs" columns, </t>
  </si>
  <si>
    <t>Salary Costs Ready Reckoner</t>
  </si>
  <si>
    <t>Not in</t>
  </si>
  <si>
    <t>These columns to be hidden</t>
  </si>
  <si>
    <t xml:space="preserve">appointment of less than 12 months, you should use the HMRC online </t>
  </si>
  <si>
    <r>
      <rPr>
        <sz val="10"/>
        <rFont val="Arial"/>
        <family val="2"/>
      </rPr>
      <t xml:space="preserve">calculator at </t>
    </r>
    <r>
      <rPr>
        <u/>
        <sz val="10"/>
        <color rgb="FFFF0000"/>
        <rFont val="Arial"/>
        <family val="2"/>
      </rPr>
      <t>http://nicecalculator.hmrc.gov.uk/Class1NICs1.aspx</t>
    </r>
  </si>
  <si>
    <t xml:space="preserve">(select period of pay = monthly; enter monthly gross salary; select NI </t>
  </si>
  <si>
    <t>Category = D for members of ERBS or USS).</t>
  </si>
  <si>
    <t xml:space="preserve">* This calculator will give the figure for a whole year appointment. For an </t>
  </si>
  <si>
    <t>* This calculator does not take account of employer NIC savings arising</t>
  </si>
  <si>
    <t xml:space="preserve"> from Pension Salary Exchange (as the employee may opt-out of PSX).</t>
  </si>
  <si>
    <t xml:space="preserve">* This calculator does not take account of any increments which the </t>
  </si>
  <si>
    <t>employee may be entitled to on 1 August.</t>
  </si>
  <si>
    <t xml:space="preserve">* For a forecast which includes increments over a longer period, use the </t>
  </si>
  <si>
    <t>Cognos BI tool or e-SR1.</t>
  </si>
  <si>
    <r>
      <rPr>
        <b/>
        <sz val="10"/>
        <rFont val="Arial"/>
        <family val="2"/>
      </rPr>
      <t>If term-time</t>
    </r>
    <r>
      <rPr>
        <sz val="10"/>
        <rFont val="Arial"/>
        <family val="2"/>
      </rPr>
      <t>:</t>
    </r>
  </si>
  <si>
    <r>
      <rPr>
        <b/>
        <sz val="10"/>
        <rFont val="Arial"/>
        <family val="2"/>
      </rPr>
      <t>If NOT term-time</t>
    </r>
    <r>
      <rPr>
        <sz val="10"/>
        <rFont val="Arial"/>
        <family val="2"/>
      </rPr>
      <t>, input hours:</t>
    </r>
  </si>
  <si>
    <r>
      <t xml:space="preserve">FTE </t>
    </r>
    <r>
      <rPr>
        <b/>
        <sz val="10"/>
        <rFont val="Arial"/>
        <family val="2"/>
      </rPr>
      <t>(HIDE THIS LINE)</t>
    </r>
  </si>
  <si>
    <t>JNCHES Point 3</t>
  </si>
  <si>
    <t>JNCHES point 3:</t>
  </si>
  <si>
    <t>Formula for 2016/2017</t>
  </si>
  <si>
    <t>Secondary Earning Threshold</t>
  </si>
  <si>
    <t>Niable pay</t>
  </si>
  <si>
    <t>NI</t>
  </si>
  <si>
    <t>ERSS ER contribution</t>
  </si>
  <si>
    <t>ERSS</t>
  </si>
  <si>
    <t>(Although new staff in Grade E will join USS some existing staff in Grade E elected to remain members of ERSS when the Framework Agreement was introduced.)</t>
  </si>
  <si>
    <t>The following table re-calculates for those in Grade E on the assumption that the staff are members of ERSS.</t>
  </si>
  <si>
    <t>Apprenticeship Levy</t>
  </si>
  <si>
    <t>L9</t>
  </si>
  <si>
    <t>L8</t>
  </si>
  <si>
    <t>L7</t>
  </si>
  <si>
    <t>L6</t>
  </si>
  <si>
    <t>L5</t>
  </si>
  <si>
    <t>L4</t>
  </si>
  <si>
    <t>L3</t>
  </si>
  <si>
    <t>L2</t>
  </si>
  <si>
    <t>L1</t>
  </si>
  <si>
    <t>UNIVERSITY OF EXETER PAY SCALES</t>
  </si>
  <si>
    <t>(Salary - Secondary Earnings Threshold) * 13.8%</t>
  </si>
  <si>
    <t>NI Limits 2023/24:</t>
  </si>
  <si>
    <t>Pay rates effective from 1 Nov 2023</t>
  </si>
  <si>
    <t>Salary from 1 Nov 2023</t>
  </si>
  <si>
    <t>Pension Scheme employer contribution rates - USS 14.5% and ERSS 12.0%</t>
  </si>
  <si>
    <t>decrease in ER contributions from January 2024</t>
  </si>
  <si>
    <t>NI rates effective from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</si>
</sst>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£&quot;#,##0;[Red]\-&quot;£&quot;#,##0"/>
    <numFmt numFmtId="8" formatCode="&quot;£&quot;#,##0.00;[Red]\-&quot;£&quot;#,##0.0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  <numFmt numFmtId="167" formatCode="&quot;£&quot;#,##0.00"/>
    <numFmt numFmtId="168" formatCode="&quot;£&quot;#,##0"/>
    <numFmt numFmtId="169" formatCode="0.000000"/>
    <numFmt numFmtId="170" formatCode="_-&quot;£&quot;* #,##0_-;\-&quot;£&quot;* #,##0_-;_-&quot;£&quot;* &quot;-&quot;??_-;_-@_-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9"/>
      <color theme="10"/>
      <name val="Arial"/>
      <family val="2"/>
    </font>
    <font>
      <u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203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5" fillId="2" borderId="0" xfId="0" applyFont="1" applyFill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Border="1" applyAlignment="1">
      <alignment horizontal="center" vertical="center" textRotation="180" wrapText="1"/>
    </xf>
    <xf numFmtId="0" fontId="3" fillId="0" borderId="0" xfId="0" applyFont="1"/>
    <xf numFmtId="165" fontId="2" fillId="0" borderId="1" xfId="1" applyNumberFormat="1" applyFont="1" applyBorder="1" applyAlignment="1">
      <alignment horizontal="center" wrapText="1"/>
    </xf>
    <xf numFmtId="165" fontId="2" fillId="0" borderId="2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/>
    <xf numFmtId="3" fontId="2" fillId="0" borderId="0" xfId="0" applyNumberFormat="1" applyFont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10" fillId="0" borderId="0" xfId="0" applyFont="1"/>
    <xf numFmtId="15" fontId="2" fillId="0" borderId="0" xfId="0" applyNumberFormat="1" applyFont="1"/>
    <xf numFmtId="164" fontId="2" fillId="0" borderId="0" xfId="0" applyNumberFormat="1" applyFont="1"/>
    <xf numFmtId="15" fontId="2" fillId="0" borderId="0" xfId="0" quotePrefix="1" applyNumberFormat="1" applyFont="1"/>
    <xf numFmtId="0" fontId="2" fillId="0" borderId="1" xfId="0" applyFont="1" applyBorder="1"/>
    <xf numFmtId="0" fontId="2" fillId="0" borderId="0" xfId="0" quotePrefix="1" applyFont="1"/>
    <xf numFmtId="49" fontId="11" fillId="0" borderId="0" xfId="0" applyNumberFormat="1" applyFont="1"/>
    <xf numFmtId="9" fontId="2" fillId="0" borderId="0" xfId="0" applyNumberFormat="1" applyFont="1"/>
    <xf numFmtId="9" fontId="2" fillId="0" borderId="0" xfId="0" applyNumberFormat="1" applyFont="1" applyAlignment="1">
      <alignment horizontal="left"/>
    </xf>
    <xf numFmtId="49" fontId="8" fillId="0" borderId="0" xfId="0" applyNumberFormat="1" applyFont="1"/>
    <xf numFmtId="166" fontId="0" fillId="0" borderId="1" xfId="2" applyNumberFormat="1" applyFont="1" applyFill="1" applyBorder="1"/>
    <xf numFmtId="165" fontId="2" fillId="0" borderId="1" xfId="1" applyNumberFormat="1" applyFont="1" applyFill="1" applyBorder="1" applyAlignment="1">
      <alignment horizontal="center" wrapText="1"/>
    </xf>
    <xf numFmtId="165" fontId="2" fillId="0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2" fillId="3" borderId="1" xfId="0" applyNumberFormat="1" applyFont="1" applyFill="1" applyBorder="1"/>
    <xf numFmtId="15" fontId="2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1" xfId="0" applyBorder="1"/>
    <xf numFmtId="0" fontId="0" fillId="0" borderId="18" xfId="0" applyBorder="1"/>
    <xf numFmtId="0" fontId="3" fillId="0" borderId="18" xfId="0" applyFont="1" applyBorder="1"/>
    <xf numFmtId="0" fontId="0" fillId="0" borderId="19" xfId="0" applyBorder="1"/>
    <xf numFmtId="0" fontId="0" fillId="0" borderId="21" xfId="0" applyBorder="1"/>
    <xf numFmtId="0" fontId="1" fillId="0" borderId="21" xfId="0" applyFont="1" applyBorder="1"/>
    <xf numFmtId="0" fontId="0" fillId="0" borderId="3" xfId="0" applyBorder="1"/>
    <xf numFmtId="0" fontId="0" fillId="0" borderId="20" xfId="0" applyBorder="1"/>
    <xf numFmtId="168" fontId="0" fillId="0" borderId="0" xfId="0" applyNumberFormat="1"/>
    <xf numFmtId="0" fontId="0" fillId="0" borderId="0" xfId="0" applyAlignment="1">
      <alignment horizontal="left"/>
    </xf>
    <xf numFmtId="0" fontId="0" fillId="7" borderId="0" xfId="0" applyFill="1"/>
    <xf numFmtId="0" fontId="3" fillId="0" borderId="0" xfId="0" applyFont="1" applyAlignment="1">
      <alignment horizontal="left"/>
    </xf>
    <xf numFmtId="0" fontId="0" fillId="0" borderId="12" xfId="0" applyBorder="1"/>
    <xf numFmtId="0" fontId="1" fillId="0" borderId="18" xfId="0" applyFont="1" applyBorder="1"/>
    <xf numFmtId="0" fontId="0" fillId="0" borderId="13" xfId="0" applyBorder="1"/>
    <xf numFmtId="0" fontId="0" fillId="0" borderId="14" xfId="0" applyBorder="1"/>
    <xf numFmtId="0" fontId="1" fillId="0" borderId="3" xfId="0" applyFont="1" applyBorder="1"/>
    <xf numFmtId="0" fontId="11" fillId="0" borderId="0" xfId="0" applyFont="1"/>
    <xf numFmtId="0" fontId="14" fillId="0" borderId="0" xfId="3" applyAlignment="1" applyProtection="1"/>
    <xf numFmtId="168" fontId="2" fillId="0" borderId="0" xfId="0" applyNumberFormat="1" applyFont="1"/>
    <xf numFmtId="168" fontId="2" fillId="3" borderId="1" xfId="1" applyNumberFormat="1" applyFont="1" applyFill="1" applyBorder="1" applyProtection="1"/>
    <xf numFmtId="0" fontId="12" fillId="0" borderId="0" xfId="0" applyFont="1"/>
    <xf numFmtId="0" fontId="1" fillId="7" borderId="0" xfId="0" applyFont="1" applyFill="1"/>
    <xf numFmtId="0" fontId="6" fillId="7" borderId="0" xfId="0" applyFont="1" applyFill="1"/>
    <xf numFmtId="0" fontId="6" fillId="0" borderId="12" xfId="0" applyFont="1" applyBorder="1"/>
    <xf numFmtId="0" fontId="1" fillId="4" borderId="13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1" fillId="0" borderId="13" xfId="0" applyFont="1" applyBorder="1"/>
    <xf numFmtId="0" fontId="15" fillId="4" borderId="13" xfId="3" applyFont="1" applyFill="1" applyBorder="1" applyAlignment="1" applyProtection="1">
      <alignment horizontal="left"/>
    </xf>
    <xf numFmtId="0" fontId="1" fillId="4" borderId="13" xfId="3" applyFont="1" applyFill="1" applyBorder="1" applyAlignment="1" applyProtection="1">
      <alignment horizontal="left"/>
    </xf>
    <xf numFmtId="0" fontId="0" fillId="8" borderId="0" xfId="0" applyFill="1"/>
    <xf numFmtId="0" fontId="0" fillId="8" borderId="0" xfId="0" applyFill="1" applyAlignment="1">
      <alignment horizontal="left"/>
    </xf>
    <xf numFmtId="0" fontId="3" fillId="8" borderId="0" xfId="0" applyFont="1" applyFill="1"/>
    <xf numFmtId="0" fontId="0" fillId="0" borderId="0" xfId="0" applyAlignment="1">
      <alignment horizontal="center"/>
    </xf>
    <xf numFmtId="169" fontId="0" fillId="0" borderId="0" xfId="0" applyNumberFormat="1"/>
    <xf numFmtId="0" fontId="0" fillId="9" borderId="0" xfId="0" applyFill="1"/>
    <xf numFmtId="0" fontId="1" fillId="9" borderId="0" xfId="0" applyFont="1" applyFill="1"/>
    <xf numFmtId="169" fontId="0" fillId="9" borderId="0" xfId="0" applyNumberFormat="1" applyFill="1"/>
    <xf numFmtId="0" fontId="2" fillId="9" borderId="1" xfId="0" applyFont="1" applyFill="1" applyBorder="1"/>
    <xf numFmtId="0" fontId="1" fillId="0" borderId="0" xfId="0" quotePrefix="1" applyFont="1"/>
    <xf numFmtId="0" fontId="16" fillId="0" borderId="0" xfId="0" applyFont="1"/>
    <xf numFmtId="165" fontId="1" fillId="0" borderId="0" xfId="1" applyNumberFormat="1" applyFont="1" applyBorder="1" applyAlignment="1">
      <alignment horizontal="center" wrapText="1"/>
    </xf>
    <xf numFmtId="49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164" fontId="2" fillId="9" borderId="1" xfId="0" applyNumberFormat="1" applyFont="1" applyFill="1" applyBorder="1"/>
    <xf numFmtId="0" fontId="1" fillId="10" borderId="17" xfId="0" applyFont="1" applyFill="1" applyBorder="1"/>
    <xf numFmtId="0" fontId="1" fillId="10" borderId="1" xfId="0" applyFont="1" applyFill="1" applyBorder="1"/>
    <xf numFmtId="0" fontId="4" fillId="10" borderId="1" xfId="0" applyFont="1" applyFill="1" applyBorder="1"/>
    <xf numFmtId="0" fontId="4" fillId="10" borderId="1" xfId="0" applyFont="1" applyFill="1" applyBorder="1" applyAlignment="1">
      <alignment horizontal="center" vertical="center" textRotation="180" wrapText="1"/>
    </xf>
    <xf numFmtId="0" fontId="4" fillId="1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5" fontId="1" fillId="0" borderId="0" xfId="1" applyNumberFormat="1" applyFont="1" applyFill="1" applyBorder="1" applyAlignment="1">
      <alignment horizontal="center" wrapText="1"/>
    </xf>
    <xf numFmtId="170" fontId="1" fillId="0" borderId="0" xfId="2" applyNumberFormat="1" applyFont="1" applyFill="1" applyBorder="1"/>
    <xf numFmtId="166" fontId="0" fillId="0" borderId="0" xfId="2" applyNumberFormat="1" applyFont="1" applyFill="1" applyBorder="1"/>
    <xf numFmtId="0" fontId="0" fillId="0" borderId="1" xfId="0" applyBorder="1" applyAlignment="1">
      <alignment horizontal="center" vertical="center" wrapText="1"/>
    </xf>
    <xf numFmtId="0" fontId="5" fillId="10" borderId="1" xfId="0" applyFont="1" applyFill="1" applyBorder="1"/>
    <xf numFmtId="10" fontId="2" fillId="3" borderId="1" xfId="4" applyNumberFormat="1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42" fontId="17" fillId="0" borderId="0" xfId="1" applyNumberFormat="1" applyFont="1" applyBorder="1"/>
    <xf numFmtId="165" fontId="2" fillId="0" borderId="0" xfId="1" applyNumberFormat="1" applyFont="1" applyBorder="1" applyAlignment="1">
      <alignment horizontal="center"/>
    </xf>
    <xf numFmtId="42" fontId="17" fillId="0" borderId="0" xfId="1" applyNumberFormat="1" applyFont="1" applyFill="1" applyBorder="1"/>
    <xf numFmtId="170" fontId="1" fillId="0" borderId="1" xfId="0" applyNumberFormat="1" applyFont="1" applyBorder="1" applyAlignment="1">
      <alignment horizontal="right"/>
    </xf>
    <xf numFmtId="42" fontId="1" fillId="0" borderId="1" xfId="0" applyNumberFormat="1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5" borderId="0" xfId="0" applyFont="1" applyFill="1" applyAlignment="1">
      <alignment horizontal="left" vertical="distributed" wrapText="1"/>
    </xf>
    <xf numFmtId="49" fontId="1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0" fontId="0" fillId="0" borderId="1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44" fontId="3" fillId="0" borderId="12" xfId="2" applyFont="1" applyFill="1" applyBorder="1" applyAlignment="1">
      <alignment horizontal="center"/>
    </xf>
    <xf numFmtId="44" fontId="3" fillId="0" borderId="18" xfId="2" applyFont="1" applyFill="1" applyBorder="1" applyAlignment="1">
      <alignment horizontal="center"/>
    </xf>
    <xf numFmtId="44" fontId="3" fillId="0" borderId="19" xfId="2" applyFont="1" applyFill="1" applyBorder="1" applyAlignment="1">
      <alignment horizontal="center"/>
    </xf>
    <xf numFmtId="44" fontId="0" fillId="8" borderId="1" xfId="2" applyFont="1" applyFill="1" applyBorder="1" applyAlignment="1">
      <alignment horizontal="center"/>
    </xf>
    <xf numFmtId="44" fontId="3" fillId="0" borderId="1" xfId="2" applyFont="1" applyFill="1" applyBorder="1" applyAlignment="1" applyProtection="1">
      <alignment horizontal="center"/>
      <protection locked="0"/>
    </xf>
    <xf numFmtId="44" fontId="3" fillId="0" borderId="1" xfId="2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44" fontId="0" fillId="8" borderId="15" xfId="2" applyFont="1" applyFill="1" applyBorder="1" applyAlignment="1">
      <alignment horizontal="center"/>
    </xf>
    <xf numFmtId="44" fontId="0" fillId="8" borderId="16" xfId="2" applyFont="1" applyFill="1" applyBorder="1" applyAlignment="1">
      <alignment horizontal="center"/>
    </xf>
    <xf numFmtId="44" fontId="0" fillId="8" borderId="17" xfId="2" applyFon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4" fontId="3" fillId="0" borderId="22" xfId="2" applyFont="1" applyFill="1" applyBorder="1" applyAlignment="1">
      <alignment horizontal="center"/>
    </xf>
    <xf numFmtId="44" fontId="3" fillId="0" borderId="23" xfId="2" applyFont="1" applyFill="1" applyBorder="1" applyAlignment="1">
      <alignment horizontal="center"/>
    </xf>
    <xf numFmtId="44" fontId="3" fillId="0" borderId="24" xfId="2" applyFont="1" applyFill="1" applyBorder="1" applyAlignment="1">
      <alignment horizontal="center"/>
    </xf>
    <xf numFmtId="0" fontId="6" fillId="8" borderId="0" xfId="0" applyFont="1" applyFill="1" applyAlignment="1">
      <alignment vertical="top" wrapText="1"/>
    </xf>
    <xf numFmtId="0" fontId="0" fillId="8" borderId="0" xfId="0" applyFill="1" applyAlignment="1">
      <alignment horizontal="left"/>
    </xf>
    <xf numFmtId="0" fontId="0" fillId="8" borderId="0" xfId="0" applyFill="1" applyAlignment="1">
      <alignment wrapText="1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8" fontId="0" fillId="0" borderId="15" xfId="0" applyNumberFormat="1" applyBorder="1" applyAlignment="1">
      <alignment horizontal="center"/>
    </xf>
    <xf numFmtId="8" fontId="0" fillId="0" borderId="16" xfId="0" applyNumberFormat="1" applyBorder="1" applyAlignment="1">
      <alignment horizontal="center"/>
    </xf>
    <xf numFmtId="8" fontId="0" fillId="0" borderId="17" xfId="0" applyNumberFormat="1" applyBorder="1" applyAlignment="1">
      <alignment horizontal="center"/>
    </xf>
    <xf numFmtId="167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6" fontId="1" fillId="0" borderId="15" xfId="0" applyNumberFormat="1" applyFont="1" applyBorder="1" applyAlignment="1">
      <alignment horizontal="center"/>
    </xf>
    <xf numFmtId="6" fontId="1" fillId="0" borderId="16" xfId="0" applyNumberFormat="1" applyFont="1" applyBorder="1" applyAlignment="1">
      <alignment horizontal="center"/>
    </xf>
    <xf numFmtId="6" fontId="1" fillId="0" borderId="17" xfId="0" applyNumberFormat="1" applyFont="1" applyBorder="1" applyAlignment="1">
      <alignment horizontal="center"/>
    </xf>
    <xf numFmtId="44" fontId="1" fillId="6" borderId="1" xfId="2" applyFont="1" applyFill="1" applyBorder="1" applyAlignment="1" applyProtection="1">
      <alignment horizontal="center"/>
      <protection locked="0"/>
    </xf>
    <xf numFmtId="44" fontId="1" fillId="6" borderId="15" xfId="2" applyFont="1" applyFill="1" applyBorder="1" applyAlignment="1" applyProtection="1">
      <alignment horizontal="center"/>
      <protection locked="0"/>
    </xf>
    <xf numFmtId="44" fontId="1" fillId="6" borderId="16" xfId="2" applyFont="1" applyFill="1" applyBorder="1" applyAlignment="1" applyProtection="1">
      <alignment horizontal="center"/>
      <protection locked="0"/>
    </xf>
    <xf numFmtId="44" fontId="1" fillId="6" borderId="17" xfId="2" applyFont="1" applyFill="1" applyBorder="1" applyAlignment="1" applyProtection="1">
      <alignment horizontal="center"/>
      <protection locked="0"/>
    </xf>
    <xf numFmtId="44" fontId="1" fillId="0" borderId="15" xfId="2" applyFont="1" applyFill="1" applyBorder="1" applyAlignment="1">
      <alignment horizontal="center"/>
    </xf>
    <xf numFmtId="44" fontId="1" fillId="0" borderId="16" xfId="2" applyFont="1" applyFill="1" applyBorder="1" applyAlignment="1">
      <alignment horizontal="center"/>
    </xf>
    <xf numFmtId="44" fontId="1" fillId="0" borderId="17" xfId="2" applyFont="1" applyFill="1" applyBorder="1" applyAlignment="1">
      <alignment horizontal="center"/>
    </xf>
    <xf numFmtId="0" fontId="0" fillId="6" borderId="15" xfId="0" applyFill="1" applyBorder="1" applyAlignment="1" applyProtection="1">
      <alignment horizontal="center"/>
      <protection locked="0"/>
    </xf>
    <xf numFmtId="0" fontId="0" fillId="6" borderId="16" xfId="0" applyFill="1" applyBorder="1" applyAlignment="1" applyProtection="1">
      <alignment horizontal="center"/>
      <protection locked="0"/>
    </xf>
    <xf numFmtId="0" fontId="0" fillId="6" borderId="17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6" borderId="15" xfId="0" applyNumberFormat="1" applyFill="1" applyBorder="1" applyAlignment="1" applyProtection="1">
      <alignment horizontal="center"/>
      <protection locked="0"/>
    </xf>
    <xf numFmtId="2" fontId="0" fillId="6" borderId="16" xfId="0" applyNumberFormat="1" applyFill="1" applyBorder="1" applyAlignment="1" applyProtection="1">
      <alignment horizontal="center"/>
      <protection locked="0"/>
    </xf>
    <xf numFmtId="2" fontId="0" fillId="6" borderId="17" xfId="0" applyNumberFormat="1" applyFill="1" applyBorder="1" applyAlignment="1" applyProtection="1">
      <alignment horizontal="center"/>
      <protection locked="0"/>
    </xf>
    <xf numFmtId="2" fontId="0" fillId="9" borderId="12" xfId="0" applyNumberFormat="1" applyFill="1" applyBorder="1" applyAlignment="1" applyProtection="1">
      <alignment horizontal="center"/>
      <protection locked="0"/>
    </xf>
    <xf numFmtId="2" fontId="0" fillId="9" borderId="18" xfId="0" applyNumberFormat="1" applyFill="1" applyBorder="1" applyAlignment="1" applyProtection="1">
      <alignment horizontal="center"/>
      <protection locked="0"/>
    </xf>
    <xf numFmtId="2" fontId="0" fillId="9" borderId="19" xfId="0" applyNumberFormat="1" applyFill="1" applyBorder="1" applyAlignment="1" applyProtection="1">
      <alignment horizontal="center"/>
      <protection locked="0"/>
    </xf>
    <xf numFmtId="2" fontId="0" fillId="9" borderId="1" xfId="0" applyNumberFormat="1" applyFill="1" applyBorder="1" applyAlignment="1" applyProtection="1">
      <alignment horizontal="center"/>
      <protection locked="0"/>
    </xf>
    <xf numFmtId="0" fontId="0" fillId="9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8" fontId="0" fillId="6" borderId="15" xfId="0" applyNumberFormat="1" applyFill="1" applyBorder="1" applyAlignment="1" applyProtection="1">
      <alignment horizontal="center"/>
      <protection locked="0"/>
    </xf>
    <xf numFmtId="168" fontId="0" fillId="6" borderId="16" xfId="0" applyNumberFormat="1" applyFill="1" applyBorder="1" applyAlignment="1" applyProtection="1">
      <alignment horizontal="center"/>
      <protection locked="0"/>
    </xf>
    <xf numFmtId="168" fontId="0" fillId="6" borderId="17" xfId="0" applyNumberFormat="1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18" xfId="0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</cellXfs>
  <cellStyles count="6">
    <cellStyle name="Comma" xfId="1" builtinId="3"/>
    <cellStyle name="Currency" xfId="2" builtinId="4"/>
    <cellStyle name="Hyperlink" xfId="3" builtinId="8"/>
    <cellStyle name="Normal" xfId="0" builtinId="0"/>
    <cellStyle name="Normal 2" xfId="5" xr:uid="{00000000-0005-0000-0000-000004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47626</xdr:colOff>
      <xdr:row>1</xdr:row>
      <xdr:rowOff>38100</xdr:rowOff>
    </xdr:from>
    <xdr:to>
      <xdr:col>11</xdr:col>
      <xdr:colOff>200026</xdr:colOff>
      <xdr:row>7</xdr:row>
      <xdr:rowOff>16847</xdr:rowOff>
    </xdr:to>
    <xdr:pic>
      <xdr:nvPicPr>
        <xdr:cNvPr id="2" name="Picture 1" descr="colour_log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1" y="200025"/>
          <a:ext cx="2381250" cy="9788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johnson\Local%20Settings\Temporary%20Internet%20Files\Content.Outlook\E42203LR\Costs%20calculat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xeter.ac.uk/media/universityofexeter/humanresources/documents/payroll/Salary%20costs%20ready%20reckoner%20Sep09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alculations"/>
    </sheetNames>
    <sheetDataSet>
      <sheetData sheetId="0"/>
      <sheetData sheetId="1">
        <row r="2">
          <cell r="A2" t="str">
            <v>ERBS</v>
          </cell>
        </row>
        <row r="3">
          <cell r="A3" t="str">
            <v>Not 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y Reckoner"/>
      <sheetName val="Workings"/>
    </sheetNames>
    <sheetDataSet>
      <sheetData sheetId="0"/>
      <sheetData sheetId="1">
        <row r="3">
          <cell r="A3" t="str">
            <v>Please choose:</v>
          </cell>
        </row>
        <row r="4">
          <cell r="A4" t="str">
            <v>ERBS</v>
          </cell>
        </row>
        <row r="5">
          <cell r="A5" t="str">
            <v>USS</v>
          </cell>
        </row>
        <row r="6">
          <cell r="A6" t="str">
            <v>Not in pension scheme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mrc.gov.uk/rates/nic.ht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nicecalculator.hmrc.gov.uk/Class1NICs1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6"/>
  <sheetViews>
    <sheetView tabSelected="1" zoomScale="80" workbookViewId="0">
      <selection activeCell="S83" sqref="S83"/>
    </sheetView>
  </sheetViews>
  <sheetFormatPr defaultRowHeight="12.5" x14ac:dyDescent="0.25"/>
  <cols>
    <col min="1" max="3" width="6.7265625" customWidth="1"/>
    <col min="4" max="4" width="2.7265625" customWidth="1"/>
    <col min="5" max="5" width="12" customWidth="1"/>
    <col min="6" max="6" width="2.7265625" customWidth="1"/>
    <col min="7" max="7" width="8.1796875" bestFit="1" customWidth="1"/>
    <col min="8" max="8" width="2.7265625" customWidth="1"/>
    <col min="9" max="9" width="9.7265625" customWidth="1"/>
    <col min="10" max="10" width="11.26953125" customWidth="1"/>
    <col min="11" max="11" width="14" customWidth="1"/>
    <col min="12" max="12" width="9.7265625" customWidth="1"/>
    <col min="13" max="13" width="2.7265625" customWidth="1"/>
    <col min="14" max="14" width="9.7265625" customWidth="1"/>
    <col min="15" max="15" width="14.453125" customWidth="1"/>
    <col min="16" max="16" width="9.7265625" customWidth="1"/>
    <col min="17" max="17" width="2.7265625" customWidth="1"/>
  </cols>
  <sheetData>
    <row r="1" spans="1:17" ht="15.5" x14ac:dyDescent="0.25">
      <c r="A1" s="39" t="s">
        <v>115</v>
      </c>
      <c r="B1" s="3"/>
      <c r="C1" s="3"/>
      <c r="D1" s="1"/>
      <c r="E1" s="3"/>
      <c r="F1" s="3"/>
      <c r="G1" s="3"/>
      <c r="H1" s="3"/>
      <c r="I1" s="3"/>
      <c r="J1" s="3"/>
      <c r="K1" s="3"/>
      <c r="L1" s="28"/>
      <c r="M1" s="29" t="s">
        <v>18</v>
      </c>
      <c r="Q1" s="3"/>
    </row>
    <row r="2" spans="1:17" ht="14" x14ac:dyDescent="0.25">
      <c r="A2" s="38" t="s">
        <v>118</v>
      </c>
      <c r="B2" s="3"/>
      <c r="C2" s="3"/>
      <c r="D2" s="1"/>
      <c r="E2" s="3"/>
      <c r="F2" s="3"/>
      <c r="G2" s="3"/>
      <c r="H2" s="3"/>
      <c r="I2" s="3"/>
      <c r="J2" s="3"/>
      <c r="K2" s="3"/>
      <c r="L2" s="98"/>
      <c r="M2" s="29" t="s">
        <v>19</v>
      </c>
      <c r="Q2" s="3"/>
    </row>
    <row r="3" spans="1:17" ht="15" customHeight="1" x14ac:dyDescent="0.5">
      <c r="A3" s="38" t="s">
        <v>122</v>
      </c>
      <c r="B3" s="3"/>
      <c r="C3" s="3"/>
      <c r="D3" s="1"/>
      <c r="E3" s="3"/>
      <c r="F3" s="3"/>
      <c r="G3" s="3"/>
      <c r="H3" s="3"/>
      <c r="I3" s="3"/>
      <c r="J3" s="24"/>
      <c r="K3" s="24"/>
      <c r="L3" s="3"/>
      <c r="M3" s="3"/>
      <c r="N3" s="3"/>
      <c r="O3" s="3"/>
      <c r="P3" s="3"/>
    </row>
    <row r="4" spans="1:17" ht="15" customHeight="1" x14ac:dyDescent="0.3">
      <c r="A4" s="38" t="s">
        <v>120</v>
      </c>
      <c r="B4" s="3"/>
      <c r="C4" s="3"/>
      <c r="D4" s="1"/>
      <c r="E4" s="3"/>
      <c r="F4" s="3"/>
      <c r="G4" s="3"/>
      <c r="H4" s="3"/>
      <c r="I4" s="3"/>
      <c r="L4" s="3"/>
      <c r="M4" s="3"/>
      <c r="N4" s="92"/>
      <c r="O4" s="92"/>
      <c r="P4" s="92"/>
      <c r="Q4" s="92"/>
    </row>
    <row r="5" spans="1:17" ht="15" customHeight="1" x14ac:dyDescent="0.25">
      <c r="A5" s="132" t="s">
        <v>39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7" ht="13" x14ac:dyDescent="0.3">
      <c r="A6" s="12"/>
      <c r="B6" s="3"/>
      <c r="C6" s="3"/>
      <c r="D6" s="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 ht="35.25" customHeight="1" x14ac:dyDescent="0.3">
      <c r="A7" s="1"/>
      <c r="B7" s="3"/>
      <c r="C7" s="3"/>
      <c r="D7" s="1"/>
      <c r="E7" s="114"/>
      <c r="F7" s="17"/>
      <c r="G7" s="135" t="s">
        <v>28</v>
      </c>
      <c r="H7" s="136"/>
      <c r="I7" s="136"/>
      <c r="J7" s="136"/>
      <c r="K7" s="136"/>
      <c r="L7" s="137"/>
      <c r="M7" s="17"/>
      <c r="N7" s="135" t="s">
        <v>14</v>
      </c>
      <c r="O7" s="136"/>
      <c r="P7" s="137"/>
    </row>
    <row r="8" spans="1:17" ht="37.5" x14ac:dyDescent="0.3">
      <c r="A8" s="108" t="s">
        <v>0</v>
      </c>
      <c r="B8" s="107"/>
      <c r="C8" s="3"/>
      <c r="D8" s="1"/>
      <c r="E8" s="122" t="s">
        <v>119</v>
      </c>
      <c r="F8" s="22"/>
      <c r="G8" s="109" t="s">
        <v>29</v>
      </c>
      <c r="H8" s="22"/>
      <c r="I8" s="110" t="s">
        <v>38</v>
      </c>
      <c r="J8" s="109" t="s">
        <v>30</v>
      </c>
      <c r="K8" s="95" t="s">
        <v>105</v>
      </c>
      <c r="L8" s="111" t="s">
        <v>16</v>
      </c>
      <c r="M8" s="16"/>
      <c r="N8" s="112" t="s">
        <v>38</v>
      </c>
      <c r="O8" s="95" t="s">
        <v>105</v>
      </c>
      <c r="P8" s="113" t="s">
        <v>16</v>
      </c>
    </row>
    <row r="9" spans="1:17" ht="13" x14ac:dyDescent="0.3">
      <c r="A9" s="104">
        <v>71</v>
      </c>
      <c r="B9" s="98"/>
      <c r="C9" s="97"/>
      <c r="D9" s="7"/>
      <c r="E9" s="127">
        <v>124319</v>
      </c>
      <c r="F9" s="22"/>
      <c r="G9" s="15" t="s">
        <v>21</v>
      </c>
      <c r="H9" s="22"/>
      <c r="I9" s="34">
        <f>SUM(E9-'Standing data'!$D$11)*'Standing data'!$D$13</f>
        <v>15900.222000000002</v>
      </c>
      <c r="J9" s="13">
        <f>INT(E9*'Standing data'!$B$4)</f>
        <v>18026</v>
      </c>
      <c r="K9" s="34">
        <f>INT(E9*'Standing data'!$B$22)</f>
        <v>621</v>
      </c>
      <c r="L9" s="13">
        <f>E9+I9+J9+K9</f>
        <v>158866.22200000001</v>
      </c>
      <c r="M9" s="16"/>
      <c r="N9" s="34">
        <f>((E9-'Standing data'!$D$11)*'Standing data'!$D$13)</f>
        <v>15900.222000000002</v>
      </c>
      <c r="O9" s="34">
        <f>INT(E9*'Standing data'!$B$22)</f>
        <v>621</v>
      </c>
      <c r="P9" s="35">
        <f>E9+N9+O9</f>
        <v>140840.22200000001</v>
      </c>
    </row>
    <row r="10" spans="1:17" ht="13" x14ac:dyDescent="0.3">
      <c r="A10" s="104">
        <v>70</v>
      </c>
      <c r="B10" s="98"/>
      <c r="C10" s="97"/>
      <c r="D10" s="7"/>
      <c r="E10" s="127">
        <v>120699</v>
      </c>
      <c r="F10" s="22"/>
      <c r="G10" s="15" t="s">
        <v>21</v>
      </c>
      <c r="H10" s="22"/>
      <c r="I10" s="34">
        <f>SUM(E10-'Standing data'!$D$11)*'Standing data'!$D$13</f>
        <v>15400.662000000002</v>
      </c>
      <c r="J10" s="13">
        <f>INT(E10*'Standing data'!$B$4)</f>
        <v>17501</v>
      </c>
      <c r="K10" s="34">
        <f>INT(E10*'Standing data'!$B$22)</f>
        <v>603</v>
      </c>
      <c r="L10" s="13">
        <f t="shared" ref="L10:L64" si="0">E10+I10+J10+K10</f>
        <v>154203.66200000001</v>
      </c>
      <c r="M10" s="16"/>
      <c r="N10" s="34">
        <f>((E10-'Standing data'!$D$11)*'Standing data'!$D$13)</f>
        <v>15400.662000000002</v>
      </c>
      <c r="O10" s="34">
        <f>INT(E10*'Standing data'!$B$22)</f>
        <v>603</v>
      </c>
      <c r="P10" s="35">
        <f t="shared" ref="P10:P64" si="1">E10+N10+O10</f>
        <v>136702.66200000001</v>
      </c>
    </row>
    <row r="11" spans="1:17" ht="13" x14ac:dyDescent="0.3">
      <c r="A11" s="104">
        <v>69</v>
      </c>
      <c r="B11" s="98"/>
      <c r="C11" s="97"/>
      <c r="D11" s="7"/>
      <c r="E11" s="127">
        <v>117183</v>
      </c>
      <c r="F11" s="22"/>
      <c r="G11" s="15" t="s">
        <v>21</v>
      </c>
      <c r="H11" s="22"/>
      <c r="I11" s="34">
        <f>SUM(E11-'Standing data'!$D$11)*'Standing data'!$D$13</f>
        <v>14915.454000000002</v>
      </c>
      <c r="J11" s="13">
        <f>INT(E11*'Standing data'!$B$4)</f>
        <v>16991</v>
      </c>
      <c r="K11" s="34">
        <f>INT(E11*'Standing data'!$B$22)</f>
        <v>585</v>
      </c>
      <c r="L11" s="13">
        <f t="shared" si="0"/>
        <v>149674.454</v>
      </c>
      <c r="M11" s="16"/>
      <c r="N11" s="34">
        <f>((E11-'Standing data'!$D$11)*'Standing data'!$D$13)</f>
        <v>14915.454000000002</v>
      </c>
      <c r="O11" s="34">
        <f>INT(E11*'Standing data'!$B$22)</f>
        <v>585</v>
      </c>
      <c r="P11" s="35">
        <f t="shared" si="1"/>
        <v>132683.454</v>
      </c>
    </row>
    <row r="12" spans="1:17" ht="13" x14ac:dyDescent="0.3">
      <c r="A12" s="104">
        <v>68</v>
      </c>
      <c r="B12" s="44"/>
      <c r="C12" s="98"/>
      <c r="D12" s="7"/>
      <c r="E12" s="127">
        <v>113771</v>
      </c>
      <c r="F12" s="22"/>
      <c r="G12" s="15" t="s">
        <v>21</v>
      </c>
      <c r="H12" s="22"/>
      <c r="I12" s="34">
        <f>SUM(E12-'Standing data'!$D$11)*'Standing data'!$D$13</f>
        <v>14444.598000000002</v>
      </c>
      <c r="J12" s="13">
        <f>INT(E12*'Standing data'!$B$4)</f>
        <v>16496</v>
      </c>
      <c r="K12" s="34">
        <f>INT(E12*'Standing data'!$B$22)</f>
        <v>568</v>
      </c>
      <c r="L12" s="13">
        <f t="shared" si="0"/>
        <v>145279.598</v>
      </c>
      <c r="M12" s="16"/>
      <c r="N12" s="34">
        <f>((E12-'Standing data'!$D$11)*'Standing data'!$D$13)</f>
        <v>14444.598000000002</v>
      </c>
      <c r="O12" s="34">
        <f>INT(E12*'Standing data'!$B$22)</f>
        <v>568</v>
      </c>
      <c r="P12" s="35">
        <f t="shared" si="1"/>
        <v>128783.598</v>
      </c>
    </row>
    <row r="13" spans="1:17" ht="13" x14ac:dyDescent="0.3">
      <c r="A13" s="104">
        <v>67</v>
      </c>
      <c r="B13" s="44"/>
      <c r="C13" s="98"/>
      <c r="D13" s="7"/>
      <c r="E13" s="127">
        <v>110455</v>
      </c>
      <c r="F13" s="22"/>
      <c r="G13" s="15" t="s">
        <v>21</v>
      </c>
      <c r="H13" s="22"/>
      <c r="I13" s="34">
        <f>SUM(E13-'Standing data'!$D$11)*'Standing data'!$D$13</f>
        <v>13986.990000000002</v>
      </c>
      <c r="J13" s="13">
        <f>INT(E13*'Standing data'!$B$4)</f>
        <v>16015</v>
      </c>
      <c r="K13" s="34">
        <f>INT(E13*'Standing data'!$B$22)</f>
        <v>552</v>
      </c>
      <c r="L13" s="13">
        <f t="shared" si="0"/>
        <v>141008.99</v>
      </c>
      <c r="M13" s="16"/>
      <c r="N13" s="34">
        <f>((E13-'Standing data'!$D$11)*'Standing data'!$D$13)</f>
        <v>13986.990000000002</v>
      </c>
      <c r="O13" s="34">
        <f>INT(E13*'Standing data'!$B$22)</f>
        <v>552</v>
      </c>
      <c r="P13" s="35">
        <f t="shared" si="1"/>
        <v>124993.99</v>
      </c>
    </row>
    <row r="14" spans="1:17" ht="13" x14ac:dyDescent="0.3">
      <c r="A14" s="104">
        <v>66</v>
      </c>
      <c r="B14" s="44"/>
      <c r="C14" s="98"/>
      <c r="D14" s="7"/>
      <c r="E14" s="127">
        <v>107239</v>
      </c>
      <c r="F14" s="22"/>
      <c r="G14" s="15" t="s">
        <v>21</v>
      </c>
      <c r="H14" s="22"/>
      <c r="I14" s="34">
        <f>SUM(E14-'Standing data'!$D$11)*'Standing data'!$D$13</f>
        <v>13543.182000000001</v>
      </c>
      <c r="J14" s="13">
        <f>INT(E14*'Standing data'!$B$4)</f>
        <v>15549</v>
      </c>
      <c r="K14" s="34">
        <f>INT(E14*'Standing data'!$B$22)</f>
        <v>536</v>
      </c>
      <c r="L14" s="13">
        <f t="shared" si="0"/>
        <v>136867.182</v>
      </c>
      <c r="M14" s="16"/>
      <c r="N14" s="34">
        <f>((E14-'Standing data'!$D$11)*'Standing data'!$D$13)</f>
        <v>13543.182000000001</v>
      </c>
      <c r="O14" s="34">
        <f>INT(E14*'Standing data'!$B$22)</f>
        <v>536</v>
      </c>
      <c r="P14" s="35">
        <f t="shared" si="1"/>
        <v>121318.182</v>
      </c>
    </row>
    <row r="15" spans="1:17" ht="13" x14ac:dyDescent="0.3">
      <c r="A15" s="104">
        <v>65</v>
      </c>
      <c r="B15" s="44"/>
      <c r="C15" s="98"/>
      <c r="D15" s="7"/>
      <c r="E15" s="127">
        <v>104117</v>
      </c>
      <c r="F15" s="22"/>
      <c r="G15" s="15" t="s">
        <v>21</v>
      </c>
      <c r="H15" s="22"/>
      <c r="I15" s="34">
        <f>SUM(E15-'Standing data'!$D$11)*'Standing data'!$D$13</f>
        <v>13112.346000000001</v>
      </c>
      <c r="J15" s="13">
        <f>INT(E15*'Standing data'!$B$4)</f>
        <v>15096</v>
      </c>
      <c r="K15" s="34">
        <f>INT(E15*'Standing data'!$B$22)</f>
        <v>520</v>
      </c>
      <c r="L15" s="13">
        <f t="shared" si="0"/>
        <v>132845.34600000002</v>
      </c>
      <c r="M15" s="16"/>
      <c r="N15" s="34">
        <f>((E15-'Standing data'!$D$11)*'Standing data'!$D$13)</f>
        <v>13112.346000000001</v>
      </c>
      <c r="O15" s="34">
        <f>INT(E15*'Standing data'!$B$22)</f>
        <v>520</v>
      </c>
      <c r="P15" s="35">
        <f t="shared" si="1"/>
        <v>117749.34600000001</v>
      </c>
    </row>
    <row r="16" spans="1:17" ht="13" x14ac:dyDescent="0.3">
      <c r="A16" s="104">
        <v>64</v>
      </c>
      <c r="B16" s="44"/>
      <c r="C16" s="98"/>
      <c r="D16" s="7"/>
      <c r="E16" s="127">
        <v>101084</v>
      </c>
      <c r="F16" s="22"/>
      <c r="G16" s="15" t="s">
        <v>21</v>
      </c>
      <c r="H16" s="22"/>
      <c r="I16" s="34">
        <f>SUM(E16-'Standing data'!$D$11)*'Standing data'!$D$13</f>
        <v>12693.792000000001</v>
      </c>
      <c r="J16" s="13">
        <f>INT(E16*'Standing data'!$B$4)</f>
        <v>14657</v>
      </c>
      <c r="K16" s="34">
        <f>INT(E16*'Standing data'!$B$22)</f>
        <v>505</v>
      </c>
      <c r="L16" s="13">
        <f t="shared" si="0"/>
        <v>128939.792</v>
      </c>
      <c r="M16" s="16"/>
      <c r="N16" s="34">
        <f>((E16-'Standing data'!$D$11)*'Standing data'!$D$13)</f>
        <v>12693.792000000001</v>
      </c>
      <c r="O16" s="34">
        <f>INT(E16*'Standing data'!$B$22)</f>
        <v>505</v>
      </c>
      <c r="P16" s="35">
        <f t="shared" si="1"/>
        <v>114282.792</v>
      </c>
    </row>
    <row r="17" spans="1:16" ht="13" x14ac:dyDescent="0.3">
      <c r="A17" s="104">
        <v>63</v>
      </c>
      <c r="B17" s="44"/>
      <c r="C17" s="98"/>
      <c r="D17" s="7"/>
      <c r="E17" s="127">
        <v>98139</v>
      </c>
      <c r="F17" s="22"/>
      <c r="G17" s="15" t="s">
        <v>21</v>
      </c>
      <c r="H17" s="22"/>
      <c r="I17" s="34">
        <f>SUM(E17-'Standing data'!$D$11)*'Standing data'!$D$13</f>
        <v>12287.382000000001</v>
      </c>
      <c r="J17" s="13">
        <f>INT(E17*'Standing data'!$B$4)</f>
        <v>14230</v>
      </c>
      <c r="K17" s="34">
        <f>INT(E17*'Standing data'!$B$22)</f>
        <v>490</v>
      </c>
      <c r="L17" s="13">
        <f t="shared" si="0"/>
        <v>125146.382</v>
      </c>
      <c r="M17" s="16"/>
      <c r="N17" s="34">
        <f>((E17-'Standing data'!$D$11)*'Standing data'!$D$13)</f>
        <v>12287.382000000001</v>
      </c>
      <c r="O17" s="34">
        <f>INT(E17*'Standing data'!$B$22)</f>
        <v>490</v>
      </c>
      <c r="P17" s="35">
        <f t="shared" si="1"/>
        <v>110916.382</v>
      </c>
    </row>
    <row r="18" spans="1:16" ht="13" x14ac:dyDescent="0.3">
      <c r="A18" s="104">
        <v>62</v>
      </c>
      <c r="B18" s="44"/>
      <c r="C18" s="98"/>
      <c r="D18" s="7"/>
      <c r="E18" s="127">
        <v>95282</v>
      </c>
      <c r="F18" s="22"/>
      <c r="G18" s="15" t="s">
        <v>21</v>
      </c>
      <c r="H18" s="22"/>
      <c r="I18" s="34">
        <f>SUM(E18-'Standing data'!$D$11)*'Standing data'!$D$13</f>
        <v>11893.116000000002</v>
      </c>
      <c r="J18" s="13">
        <f>INT(E18*'Standing data'!$B$4)</f>
        <v>13815</v>
      </c>
      <c r="K18" s="34">
        <f>INT(E18*'Standing data'!$B$22)</f>
        <v>476</v>
      </c>
      <c r="L18" s="13">
        <f t="shared" si="0"/>
        <v>121466.11600000001</v>
      </c>
      <c r="M18" s="16"/>
      <c r="N18" s="34">
        <f>((E18-'Standing data'!$D$11)*'Standing data'!$D$13)</f>
        <v>11893.116000000002</v>
      </c>
      <c r="O18" s="34">
        <f>INT(E18*'Standing data'!$B$22)</f>
        <v>476</v>
      </c>
      <c r="P18" s="35">
        <f t="shared" si="1"/>
        <v>107651.11600000001</v>
      </c>
    </row>
    <row r="19" spans="1:16" ht="13" x14ac:dyDescent="0.3">
      <c r="A19" s="104">
        <v>61</v>
      </c>
      <c r="B19" s="44"/>
      <c r="C19" s="98"/>
      <c r="D19" s="7"/>
      <c r="E19" s="127">
        <v>92506</v>
      </c>
      <c r="F19" s="22"/>
      <c r="G19" s="15" t="s">
        <v>21</v>
      </c>
      <c r="H19" s="22"/>
      <c r="I19" s="34">
        <f>SUM(E19-'Standing data'!$D$11)*'Standing data'!$D$13</f>
        <v>11510.028</v>
      </c>
      <c r="J19" s="13">
        <f>INT(E19*'Standing data'!$B$4)</f>
        <v>13413</v>
      </c>
      <c r="K19" s="34">
        <f>INT(E19*'Standing data'!$B$22)</f>
        <v>462</v>
      </c>
      <c r="L19" s="13">
        <f t="shared" si="0"/>
        <v>117891.02800000001</v>
      </c>
      <c r="M19" s="16"/>
      <c r="N19" s="34">
        <f>((E19-'Standing data'!$D$11)*'Standing data'!$D$13)</f>
        <v>11510.028</v>
      </c>
      <c r="O19" s="34">
        <f>INT(E19*'Standing data'!$B$22)</f>
        <v>462</v>
      </c>
      <c r="P19" s="35">
        <f t="shared" si="1"/>
        <v>104478.02800000001</v>
      </c>
    </row>
    <row r="20" spans="1:16" ht="13" x14ac:dyDescent="0.3">
      <c r="A20" s="104">
        <v>60</v>
      </c>
      <c r="B20" s="98"/>
      <c r="C20" s="98"/>
      <c r="D20" s="7"/>
      <c r="E20" s="127">
        <v>89812</v>
      </c>
      <c r="F20" s="22"/>
      <c r="G20" s="15" t="s">
        <v>21</v>
      </c>
      <c r="H20" s="22"/>
      <c r="I20" s="34">
        <f>SUM(E20-'Standing data'!$D$11)*'Standing data'!$D$13</f>
        <v>11138.256000000001</v>
      </c>
      <c r="J20" s="13">
        <f>INT(E20*'Standing data'!$B$4)</f>
        <v>13022</v>
      </c>
      <c r="K20" s="34">
        <f>INT(E20*'Standing data'!$B$22)</f>
        <v>449</v>
      </c>
      <c r="L20" s="13">
        <f t="shared" si="0"/>
        <v>114421.25599999999</v>
      </c>
      <c r="M20" s="16"/>
      <c r="N20" s="34">
        <f>((E20-'Standing data'!$D$11)*'Standing data'!$D$13)</f>
        <v>11138.256000000001</v>
      </c>
      <c r="O20" s="34">
        <f>INT(E20*'Standing data'!$B$22)</f>
        <v>449</v>
      </c>
      <c r="P20" s="35">
        <f t="shared" si="1"/>
        <v>101399.25599999999</v>
      </c>
    </row>
    <row r="21" spans="1:16" ht="13" x14ac:dyDescent="0.3">
      <c r="A21" s="104">
        <v>59</v>
      </c>
      <c r="B21" s="98"/>
      <c r="C21" s="98"/>
      <c r="D21" s="7"/>
      <c r="E21" s="127">
        <v>87197</v>
      </c>
      <c r="F21" s="22"/>
      <c r="G21" s="15" t="s">
        <v>21</v>
      </c>
      <c r="H21" s="22"/>
      <c r="I21" s="34">
        <f>SUM(E21-'Standing data'!$D$11)*'Standing data'!$D$13</f>
        <v>10777.386</v>
      </c>
      <c r="J21" s="13">
        <f>INT(E21*'Standing data'!$B$4)</f>
        <v>12643</v>
      </c>
      <c r="K21" s="34">
        <f>INT(E21*'Standing data'!$B$22)</f>
        <v>435</v>
      </c>
      <c r="L21" s="13">
        <f t="shared" si="0"/>
        <v>111052.386</v>
      </c>
      <c r="M21" s="16"/>
      <c r="N21" s="34">
        <f>((E21-'Standing data'!$D$11)*'Standing data'!$D$13)</f>
        <v>10777.386</v>
      </c>
      <c r="O21" s="34">
        <f>INT(E21*'Standing data'!$B$22)</f>
        <v>435</v>
      </c>
      <c r="P21" s="35">
        <f t="shared" si="1"/>
        <v>98409.385999999999</v>
      </c>
    </row>
    <row r="22" spans="1:16" ht="13" x14ac:dyDescent="0.3">
      <c r="A22" s="104">
        <v>58</v>
      </c>
      <c r="B22" s="98"/>
      <c r="C22" s="98"/>
      <c r="D22" s="7"/>
      <c r="E22" s="127">
        <v>84655</v>
      </c>
      <c r="F22" s="22"/>
      <c r="G22" s="15" t="s">
        <v>21</v>
      </c>
      <c r="H22" s="22"/>
      <c r="I22" s="34">
        <f>SUM(E22-'Standing data'!$D$11)*'Standing data'!$D$13</f>
        <v>10426.59</v>
      </c>
      <c r="J22" s="13">
        <f>INT(E22*'Standing data'!$B$4)</f>
        <v>12274</v>
      </c>
      <c r="K22" s="34">
        <f>INT(E22*'Standing data'!$B$22)</f>
        <v>423</v>
      </c>
      <c r="L22" s="13">
        <f t="shared" si="0"/>
        <v>107778.59</v>
      </c>
      <c r="M22" s="16"/>
      <c r="N22" s="34">
        <f>((E22-'Standing data'!$D$11)*'Standing data'!$D$13)</f>
        <v>10426.59</v>
      </c>
      <c r="O22" s="34">
        <f>INT(E22*'Standing data'!$B$22)</f>
        <v>423</v>
      </c>
      <c r="P22" s="35">
        <f t="shared" si="1"/>
        <v>95504.59</v>
      </c>
    </row>
    <row r="23" spans="1:16" ht="13" x14ac:dyDescent="0.3">
      <c r="A23" s="104">
        <v>57</v>
      </c>
      <c r="B23" s="98"/>
      <c r="C23" s="91"/>
      <c r="D23" s="7"/>
      <c r="E23" s="127">
        <v>82190</v>
      </c>
      <c r="F23" s="22"/>
      <c r="G23" s="15" t="s">
        <v>21</v>
      </c>
      <c r="H23" s="22"/>
      <c r="I23" s="34">
        <f>SUM(E23-'Standing data'!$D$11)*'Standing data'!$D$13</f>
        <v>10086.42</v>
      </c>
      <c r="J23" s="13">
        <f>INT(E23*'Standing data'!$B$4)</f>
        <v>11917</v>
      </c>
      <c r="K23" s="34">
        <f>INT(E23*'Standing data'!$B$22)</f>
        <v>410</v>
      </c>
      <c r="L23" s="13">
        <f t="shared" si="0"/>
        <v>104603.42</v>
      </c>
      <c r="M23" s="16"/>
      <c r="N23" s="34">
        <f>((E23-'Standing data'!$D$11)*'Standing data'!$D$13)</f>
        <v>10086.42</v>
      </c>
      <c r="O23" s="34">
        <f>INT(E23*'Standing data'!$B$22)</f>
        <v>410</v>
      </c>
      <c r="P23" s="35">
        <f t="shared" si="1"/>
        <v>92686.42</v>
      </c>
    </row>
    <row r="24" spans="1:16" ht="13" x14ac:dyDescent="0.3">
      <c r="A24" s="104">
        <v>56</v>
      </c>
      <c r="B24" s="98"/>
      <c r="C24" s="98"/>
      <c r="D24" s="7"/>
      <c r="E24" s="127">
        <v>79795</v>
      </c>
      <c r="F24" s="22"/>
      <c r="G24" s="15" t="s">
        <v>21</v>
      </c>
      <c r="H24" s="22"/>
      <c r="I24" s="34">
        <f>SUM(E24-'Standing data'!$D$11)*'Standing data'!$D$13</f>
        <v>9755.9100000000017</v>
      </c>
      <c r="J24" s="13">
        <f>INT(E24*'Standing data'!$B$4)</f>
        <v>11570</v>
      </c>
      <c r="K24" s="34">
        <f>INT(E24*'Standing data'!$B$22)</f>
        <v>398</v>
      </c>
      <c r="L24" s="13">
        <f t="shared" si="0"/>
        <v>101518.91</v>
      </c>
      <c r="M24" s="16"/>
      <c r="N24" s="34">
        <f>((E24-'Standing data'!$D$11)*'Standing data'!$D$13)</f>
        <v>9755.9100000000017</v>
      </c>
      <c r="O24" s="34">
        <f>INT(E24*'Standing data'!$B$22)</f>
        <v>398</v>
      </c>
      <c r="P24" s="35">
        <f t="shared" si="1"/>
        <v>89948.91</v>
      </c>
    </row>
    <row r="25" spans="1:16" ht="13" x14ac:dyDescent="0.3">
      <c r="A25" s="104">
        <v>55</v>
      </c>
      <c r="B25" s="98"/>
      <c r="C25" s="98"/>
      <c r="D25" s="7"/>
      <c r="E25" s="127">
        <v>77480</v>
      </c>
      <c r="F25" s="22"/>
      <c r="G25" s="15" t="s">
        <v>21</v>
      </c>
      <c r="H25" s="22"/>
      <c r="I25" s="34">
        <f>SUM(E25-'Standing data'!$D$11)*'Standing data'!$D$13</f>
        <v>9436.44</v>
      </c>
      <c r="J25" s="13">
        <f>INT(E25*'Standing data'!$B$4)</f>
        <v>11234</v>
      </c>
      <c r="K25" s="34">
        <f>INT(E25*'Standing data'!$B$22)</f>
        <v>387</v>
      </c>
      <c r="L25" s="13">
        <f t="shared" si="0"/>
        <v>98537.44</v>
      </c>
      <c r="M25" s="16"/>
      <c r="N25" s="34">
        <f>((E25-'Standing data'!$D$11)*'Standing data'!$D$13)</f>
        <v>9436.44</v>
      </c>
      <c r="O25" s="34">
        <f>INT(E25*'Standing data'!$B$22)</f>
        <v>387</v>
      </c>
      <c r="P25" s="35">
        <f t="shared" si="1"/>
        <v>87303.44</v>
      </c>
    </row>
    <row r="26" spans="1:16" x14ac:dyDescent="0.25">
      <c r="A26" s="105">
        <v>54</v>
      </c>
      <c r="B26" s="99"/>
      <c r="C26" s="99"/>
      <c r="D26" s="7"/>
      <c r="E26" s="127">
        <v>75228</v>
      </c>
      <c r="F26" s="23"/>
      <c r="G26" s="15" t="s">
        <v>21</v>
      </c>
      <c r="H26" s="23"/>
      <c r="I26" s="34">
        <f>SUM(E26-'Standing data'!$D$11)*'Standing data'!$D$13</f>
        <v>9125.6640000000007</v>
      </c>
      <c r="J26" s="13">
        <f>INT(E26*'Standing data'!$B$4)</f>
        <v>10908</v>
      </c>
      <c r="K26" s="34">
        <f>INT(E26*'Standing data'!$B$22)</f>
        <v>376</v>
      </c>
      <c r="L26" s="13">
        <f t="shared" si="0"/>
        <v>95637.664000000004</v>
      </c>
      <c r="M26" s="15"/>
      <c r="N26" s="34">
        <f>((E26-'Standing data'!$D$11)*'Standing data'!$D$13)</f>
        <v>9125.6640000000007</v>
      </c>
      <c r="O26" s="34">
        <f>INT(E26*'Standing data'!$B$22)</f>
        <v>376</v>
      </c>
      <c r="P26" s="35">
        <f t="shared" si="1"/>
        <v>84729.664000000004</v>
      </c>
    </row>
    <row r="27" spans="1:16" x14ac:dyDescent="0.25">
      <c r="A27" s="105">
        <v>53</v>
      </c>
      <c r="B27" s="4"/>
      <c r="C27" s="99"/>
      <c r="D27" s="7"/>
      <c r="E27" s="127">
        <v>73043</v>
      </c>
      <c r="F27" s="23"/>
      <c r="G27" s="15" t="s">
        <v>21</v>
      </c>
      <c r="H27" s="23"/>
      <c r="I27" s="34">
        <f>SUM(E27-'Standing data'!$D$11)*'Standing data'!$D$13</f>
        <v>8824.134</v>
      </c>
      <c r="J27" s="13">
        <f>INT(E27*'Standing data'!$B$4)</f>
        <v>10591</v>
      </c>
      <c r="K27" s="34">
        <f>INT(E27*'Standing data'!$B$22)</f>
        <v>365</v>
      </c>
      <c r="L27" s="13">
        <f t="shared" si="0"/>
        <v>92823.134000000005</v>
      </c>
      <c r="M27" s="15"/>
      <c r="N27" s="34">
        <f>((E27-'Standing data'!$D$11)*'Standing data'!$D$13)</f>
        <v>8824.134</v>
      </c>
      <c r="O27" s="34">
        <f>INT(E27*'Standing data'!$B$22)</f>
        <v>365</v>
      </c>
      <c r="P27" s="35">
        <f t="shared" si="1"/>
        <v>82232.134000000005</v>
      </c>
    </row>
    <row r="28" spans="1:16" x14ac:dyDescent="0.25">
      <c r="A28" s="105">
        <v>52</v>
      </c>
      <c r="B28" s="4"/>
      <c r="C28" s="99"/>
      <c r="D28" s="7"/>
      <c r="E28" s="127">
        <v>70919</v>
      </c>
      <c r="F28" s="23"/>
      <c r="G28" s="15" t="s">
        <v>21</v>
      </c>
      <c r="H28" s="23"/>
      <c r="I28" s="34">
        <f>SUM(E28-'Standing data'!$D$11)*'Standing data'!$D$13</f>
        <v>8531.0220000000008</v>
      </c>
      <c r="J28" s="13">
        <f>INT(E28*'Standing data'!$B$4)</f>
        <v>10283</v>
      </c>
      <c r="K28" s="34">
        <f>INT(E28*'Standing data'!$B$22)</f>
        <v>354</v>
      </c>
      <c r="L28" s="13">
        <f t="shared" si="0"/>
        <v>90087.021999999997</v>
      </c>
      <c r="M28" s="15"/>
      <c r="N28" s="34">
        <f>((E28-'Standing data'!$D$11)*'Standing data'!$D$13)</f>
        <v>8531.0220000000008</v>
      </c>
      <c r="O28" s="34">
        <f>INT(E28*'Standing data'!$B$22)</f>
        <v>354</v>
      </c>
      <c r="P28" s="35">
        <f t="shared" si="1"/>
        <v>79804.021999999997</v>
      </c>
    </row>
    <row r="29" spans="1:16" x14ac:dyDescent="0.25">
      <c r="A29" s="105">
        <v>51</v>
      </c>
      <c r="B29" s="4"/>
      <c r="C29" s="100"/>
      <c r="D29" s="1"/>
      <c r="E29" s="127">
        <v>68857</v>
      </c>
      <c r="F29" s="19"/>
      <c r="G29" s="15" t="s">
        <v>21</v>
      </c>
      <c r="H29" s="19"/>
      <c r="I29" s="34">
        <f>SUM(E29-'Standing data'!$D$11)*'Standing data'!$D$13</f>
        <v>8246.4660000000003</v>
      </c>
      <c r="J29" s="13">
        <f>INT(E29*'Standing data'!$B$4)</f>
        <v>9984</v>
      </c>
      <c r="K29" s="34">
        <f>INT(E29*'Standing data'!$B$22)</f>
        <v>344</v>
      </c>
      <c r="L29" s="13">
        <f t="shared" si="0"/>
        <v>87431.466</v>
      </c>
      <c r="M29" s="15"/>
      <c r="N29" s="34">
        <f>((E29-'Standing data'!$D$11)*'Standing data'!$D$13)</f>
        <v>8246.4660000000003</v>
      </c>
      <c r="O29" s="34">
        <f>INT(E29*'Standing data'!$B$22)</f>
        <v>344</v>
      </c>
      <c r="P29" s="35">
        <f t="shared" si="1"/>
        <v>77447.466</v>
      </c>
    </row>
    <row r="30" spans="1:16" x14ac:dyDescent="0.25">
      <c r="A30" s="105">
        <v>50</v>
      </c>
      <c r="B30" s="4"/>
      <c r="C30" s="11"/>
      <c r="D30" s="1"/>
      <c r="E30" s="127">
        <v>66857</v>
      </c>
      <c r="F30" s="19"/>
      <c r="G30" s="15" t="s">
        <v>21</v>
      </c>
      <c r="H30" s="19"/>
      <c r="I30" s="34">
        <f>SUM(E30-'Standing data'!$D$11)*'Standing data'!$D$13</f>
        <v>7970.4660000000003</v>
      </c>
      <c r="J30" s="13">
        <f>INT(E30*'Standing data'!$B$4)</f>
        <v>9694</v>
      </c>
      <c r="K30" s="34">
        <f>INT(E30*'Standing data'!$B$22)</f>
        <v>334</v>
      </c>
      <c r="L30" s="13">
        <f t="shared" si="0"/>
        <v>84855.466</v>
      </c>
      <c r="M30" s="15"/>
      <c r="N30" s="34">
        <f>((E30-'Standing data'!$D$11)*'Standing data'!$D$13)</f>
        <v>7970.4660000000003</v>
      </c>
      <c r="O30" s="34">
        <f>INT(E30*'Standing data'!$B$22)</f>
        <v>334</v>
      </c>
      <c r="P30" s="35">
        <f t="shared" si="1"/>
        <v>75161.466</v>
      </c>
    </row>
    <row r="31" spans="1:16" x14ac:dyDescent="0.25">
      <c r="A31" s="105">
        <v>49</v>
      </c>
      <c r="B31" s="101"/>
      <c r="C31" s="11"/>
      <c r="D31" s="1"/>
      <c r="E31" s="127">
        <v>64914</v>
      </c>
      <c r="F31" s="19"/>
      <c r="G31" s="15" t="s">
        <v>21</v>
      </c>
      <c r="H31" s="19"/>
      <c r="I31" s="34">
        <f>SUM(E31-'Standing data'!$D$11)*'Standing data'!$D$13</f>
        <v>7702.3320000000003</v>
      </c>
      <c r="J31" s="13">
        <f>INT(E31*'Standing data'!$B$4)</f>
        <v>9412</v>
      </c>
      <c r="K31" s="34">
        <f>INT(E31*'Standing data'!$B$22)</f>
        <v>324</v>
      </c>
      <c r="L31" s="13">
        <f t="shared" si="0"/>
        <v>82352.331999999995</v>
      </c>
      <c r="M31" s="15"/>
      <c r="N31" s="34">
        <f>((E31-'Standing data'!$D$11)*'Standing data'!$D$13)</f>
        <v>7702.3320000000003</v>
      </c>
      <c r="O31" s="34">
        <f>INT(E31*'Standing data'!$B$22)</f>
        <v>324</v>
      </c>
      <c r="P31" s="35">
        <f t="shared" si="1"/>
        <v>72940.331999999995</v>
      </c>
    </row>
    <row r="32" spans="1:16" x14ac:dyDescent="0.25">
      <c r="A32" s="106">
        <v>48</v>
      </c>
      <c r="B32" s="99"/>
      <c r="C32" s="102" t="s">
        <v>4</v>
      </c>
      <c r="D32" s="7"/>
      <c r="E32" s="127">
        <v>63335</v>
      </c>
      <c r="F32" s="21"/>
      <c r="G32" s="15" t="s">
        <v>21</v>
      </c>
      <c r="H32" s="21"/>
      <c r="I32" s="34">
        <f>SUM(E32-'Standing data'!$D$11)*'Standing data'!$D$13</f>
        <v>7484.43</v>
      </c>
      <c r="J32" s="13">
        <f>INT(E32*'Standing data'!$B$4)</f>
        <v>9183</v>
      </c>
      <c r="K32" s="34">
        <f>INT(E32*'Standing data'!$B$22)</f>
        <v>316</v>
      </c>
      <c r="L32" s="13">
        <f t="shared" si="0"/>
        <v>80318.429999999993</v>
      </c>
      <c r="M32" s="15"/>
      <c r="N32" s="34">
        <f>((E32-'Standing data'!$D$11)*'Standing data'!$D$13)</f>
        <v>7484.43</v>
      </c>
      <c r="O32" s="34">
        <f>INT(E32*'Standing data'!$B$22)</f>
        <v>316</v>
      </c>
      <c r="P32" s="35">
        <f t="shared" si="1"/>
        <v>71135.429999999993</v>
      </c>
    </row>
    <row r="33" spans="1:16" x14ac:dyDescent="0.25">
      <c r="A33" s="105">
        <v>47</v>
      </c>
      <c r="B33" s="99"/>
      <c r="C33" s="103"/>
      <c r="D33" s="1"/>
      <c r="E33" s="127">
        <v>61198</v>
      </c>
      <c r="F33" s="19"/>
      <c r="G33" s="15" t="s">
        <v>21</v>
      </c>
      <c r="H33" s="19"/>
      <c r="I33" s="34">
        <f>SUM(E33-'Standing data'!$D$11)*'Standing data'!$D$13</f>
        <v>7189.5240000000003</v>
      </c>
      <c r="J33" s="13">
        <f>INT(E33*'Standing data'!$B$4)</f>
        <v>8873</v>
      </c>
      <c r="K33" s="34">
        <f>INT(E33*'Standing data'!$B$22)</f>
        <v>305</v>
      </c>
      <c r="L33" s="13">
        <f t="shared" si="0"/>
        <v>77565.524000000005</v>
      </c>
      <c r="M33" s="15"/>
      <c r="N33" s="34">
        <f>((E33-'Standing data'!$D$11)*'Standing data'!$D$13)</f>
        <v>7189.5240000000003</v>
      </c>
      <c r="O33" s="34">
        <f>INT(E33*'Standing data'!$B$22)</f>
        <v>305</v>
      </c>
      <c r="P33" s="35">
        <f t="shared" si="1"/>
        <v>68692.524000000005</v>
      </c>
    </row>
    <row r="34" spans="1:16" x14ac:dyDescent="0.25">
      <c r="A34" s="105">
        <v>46</v>
      </c>
      <c r="B34" s="99"/>
      <c r="C34" s="4"/>
      <c r="D34" s="1"/>
      <c r="E34" s="127">
        <v>59421</v>
      </c>
      <c r="F34" s="19"/>
      <c r="G34" s="15" t="s">
        <v>21</v>
      </c>
      <c r="H34" s="19"/>
      <c r="I34" s="34">
        <f>SUM(E34-'Standing data'!$D$11)*'Standing data'!$D$13</f>
        <v>6944.2980000000007</v>
      </c>
      <c r="J34" s="13">
        <f>INT(E34*'Standing data'!$B$4)</f>
        <v>8616</v>
      </c>
      <c r="K34" s="34">
        <f>INT(E34*'Standing data'!$B$22)</f>
        <v>297</v>
      </c>
      <c r="L34" s="13">
        <f t="shared" si="0"/>
        <v>75278.297999999995</v>
      </c>
      <c r="M34" s="15"/>
      <c r="N34" s="34">
        <f>((E34-'Standing data'!$D$11)*'Standing data'!$D$13)</f>
        <v>6944.2980000000007</v>
      </c>
      <c r="O34" s="34">
        <f>INT(E34*'Standing data'!$B$22)</f>
        <v>297</v>
      </c>
      <c r="P34" s="35">
        <f t="shared" si="1"/>
        <v>66662.297999999995</v>
      </c>
    </row>
    <row r="35" spans="1:16" x14ac:dyDescent="0.25">
      <c r="A35" s="105">
        <v>45</v>
      </c>
      <c r="B35" s="99"/>
      <c r="C35" s="4"/>
      <c r="D35" s="1"/>
      <c r="E35" s="127">
        <v>57696</v>
      </c>
      <c r="F35" s="19"/>
      <c r="G35" s="15" t="s">
        <v>21</v>
      </c>
      <c r="H35" s="19"/>
      <c r="I35" s="34">
        <f>SUM(E35-'Standing data'!$D$11)*'Standing data'!$D$13</f>
        <v>6706.2480000000005</v>
      </c>
      <c r="J35" s="13">
        <f>INT(E35*'Standing data'!$B$4)</f>
        <v>8365</v>
      </c>
      <c r="K35" s="34">
        <f>INT(E35*'Standing data'!$B$22)</f>
        <v>288</v>
      </c>
      <c r="L35" s="13">
        <f t="shared" si="0"/>
        <v>73055.247999999992</v>
      </c>
      <c r="M35" s="15"/>
      <c r="N35" s="34">
        <f>((E35-'Standing data'!$D$11)*'Standing data'!$D$13)</f>
        <v>6706.2480000000005</v>
      </c>
      <c r="O35" s="34">
        <f>INT(E35*'Standing data'!$B$22)</f>
        <v>288</v>
      </c>
      <c r="P35" s="35">
        <f t="shared" si="1"/>
        <v>64690.248</v>
      </c>
    </row>
    <row r="36" spans="1:16" x14ac:dyDescent="0.25">
      <c r="A36" s="105">
        <v>44</v>
      </c>
      <c r="B36" s="8"/>
      <c r="C36" s="4"/>
      <c r="D36" s="1"/>
      <c r="E36" s="127">
        <v>56021</v>
      </c>
      <c r="F36" s="19"/>
      <c r="G36" s="15" t="s">
        <v>21</v>
      </c>
      <c r="H36" s="19"/>
      <c r="I36" s="34">
        <f>SUM(E36-'Standing data'!$D$11)*'Standing data'!$D$13</f>
        <v>6475.0980000000009</v>
      </c>
      <c r="J36" s="13">
        <f>INT(E36*'Standing data'!$B$4)</f>
        <v>8123</v>
      </c>
      <c r="K36" s="34">
        <f>INT(E36*'Standing data'!$B$22)</f>
        <v>280</v>
      </c>
      <c r="L36" s="13">
        <f t="shared" si="0"/>
        <v>70899.097999999998</v>
      </c>
      <c r="M36" s="15"/>
      <c r="N36" s="34">
        <f>((E36-'Standing data'!$D$11)*'Standing data'!$D$13)</f>
        <v>6475.0980000000009</v>
      </c>
      <c r="O36" s="34">
        <f>INT(E36*'Standing data'!$B$22)</f>
        <v>280</v>
      </c>
      <c r="P36" s="35">
        <f t="shared" si="1"/>
        <v>62776.097999999998</v>
      </c>
    </row>
    <row r="37" spans="1:16" x14ac:dyDescent="0.25">
      <c r="A37" s="105">
        <v>43</v>
      </c>
      <c r="B37" s="8"/>
      <c r="C37" s="4"/>
      <c r="D37" s="1"/>
      <c r="E37" s="127">
        <v>54395</v>
      </c>
      <c r="F37" s="19"/>
      <c r="G37" s="15" t="s">
        <v>21</v>
      </c>
      <c r="H37" s="19"/>
      <c r="I37" s="34">
        <f>SUM(E37-'Standing data'!$D$11)*'Standing data'!$D$13</f>
        <v>6250.7100000000009</v>
      </c>
      <c r="J37" s="13">
        <f>INT(E37*'Standing data'!$B$4)</f>
        <v>7887</v>
      </c>
      <c r="K37" s="34">
        <f>INT(E37*'Standing data'!$B$22)</f>
        <v>271</v>
      </c>
      <c r="L37" s="13">
        <f t="shared" si="0"/>
        <v>68803.709999999992</v>
      </c>
      <c r="M37" s="15"/>
      <c r="N37" s="34">
        <f>((E37-'Standing data'!$D$11)*'Standing data'!$D$13)</f>
        <v>6250.7100000000009</v>
      </c>
      <c r="O37" s="34">
        <f>INT(E37*'Standing data'!$B$22)</f>
        <v>271</v>
      </c>
      <c r="P37" s="35">
        <f t="shared" si="1"/>
        <v>60916.71</v>
      </c>
    </row>
    <row r="38" spans="1:16" x14ac:dyDescent="0.25">
      <c r="A38" s="105">
        <v>42</v>
      </c>
      <c r="B38" s="8"/>
      <c r="C38" s="4"/>
      <c r="D38" s="1"/>
      <c r="E38" s="127">
        <v>52815</v>
      </c>
      <c r="F38" s="19"/>
      <c r="G38" s="15" t="s">
        <v>21</v>
      </c>
      <c r="H38" s="19"/>
      <c r="I38" s="34">
        <f>SUM(E38-'Standing data'!$D$11)*'Standing data'!$D$13</f>
        <v>6032.67</v>
      </c>
      <c r="J38" s="13">
        <f>INT(E38*'Standing data'!$B$4)</f>
        <v>7658</v>
      </c>
      <c r="K38" s="34">
        <f>INT(E38*'Standing data'!$B$22)</f>
        <v>264</v>
      </c>
      <c r="L38" s="13">
        <f t="shared" si="0"/>
        <v>66769.67</v>
      </c>
      <c r="M38" s="15"/>
      <c r="N38" s="34">
        <f>((E38-'Standing data'!$D$11)*'Standing data'!$D$13)</f>
        <v>6032.67</v>
      </c>
      <c r="O38" s="34">
        <f>INT(E38*'Standing data'!$B$22)</f>
        <v>264</v>
      </c>
      <c r="P38" s="35">
        <f t="shared" si="1"/>
        <v>59111.67</v>
      </c>
    </row>
    <row r="39" spans="1:16" x14ac:dyDescent="0.25">
      <c r="A39" s="105">
        <v>41</v>
      </c>
      <c r="B39" s="8"/>
      <c r="C39" s="99"/>
      <c r="D39" s="1"/>
      <c r="E39" s="127">
        <v>51283</v>
      </c>
      <c r="F39" s="19"/>
      <c r="G39" s="15" t="s">
        <v>21</v>
      </c>
      <c r="H39" s="19"/>
      <c r="I39" s="34">
        <f>SUM(E39-'Standing data'!$D$11)*'Standing data'!$D$13</f>
        <v>5821.2540000000008</v>
      </c>
      <c r="J39" s="13">
        <f>INT(E39*'Standing data'!$B$4)</f>
        <v>7436</v>
      </c>
      <c r="K39" s="34">
        <f>INT(E39*'Standing data'!$B$22)</f>
        <v>256</v>
      </c>
      <c r="L39" s="13">
        <f t="shared" si="0"/>
        <v>64796.254000000001</v>
      </c>
      <c r="M39" s="15"/>
      <c r="N39" s="34">
        <f>((E39-'Standing data'!$D$11)*'Standing data'!$D$13)</f>
        <v>5821.2540000000008</v>
      </c>
      <c r="O39" s="34">
        <f>INT(E39*'Standing data'!$B$22)</f>
        <v>256</v>
      </c>
      <c r="P39" s="35">
        <f t="shared" si="1"/>
        <v>57360.254000000001</v>
      </c>
    </row>
    <row r="40" spans="1:16" x14ac:dyDescent="0.25">
      <c r="A40" s="105">
        <v>40</v>
      </c>
      <c r="B40" s="8"/>
      <c r="C40" s="99"/>
      <c r="D40" s="1"/>
      <c r="E40" s="127">
        <v>49794</v>
      </c>
      <c r="F40" s="19"/>
      <c r="G40" s="15" t="s">
        <v>21</v>
      </c>
      <c r="H40" s="19"/>
      <c r="I40" s="34">
        <f>SUM(E40-'Standing data'!$D$11)*'Standing data'!$D$13</f>
        <v>5615.7720000000008</v>
      </c>
      <c r="J40" s="13">
        <f>INT(E40*'Standing data'!$B$4)</f>
        <v>7220</v>
      </c>
      <c r="K40" s="34">
        <f>INT(E40*'Standing data'!$B$22)</f>
        <v>248</v>
      </c>
      <c r="L40" s="13">
        <f t="shared" si="0"/>
        <v>62877.771999999997</v>
      </c>
      <c r="M40" s="15"/>
      <c r="N40" s="34">
        <f>((E40-'Standing data'!$D$11)*'Standing data'!$D$13)</f>
        <v>5615.7720000000008</v>
      </c>
      <c r="O40" s="34">
        <f>INT(E40*'Standing data'!$B$22)</f>
        <v>248</v>
      </c>
      <c r="P40" s="35">
        <f t="shared" si="1"/>
        <v>55657.771999999997</v>
      </c>
    </row>
    <row r="41" spans="1:16" x14ac:dyDescent="0.25">
      <c r="A41" s="105">
        <v>39</v>
      </c>
      <c r="B41" s="9" t="s">
        <v>7</v>
      </c>
      <c r="C41" s="99"/>
      <c r="D41" s="1"/>
      <c r="E41" s="127">
        <v>48350</v>
      </c>
      <c r="F41" s="19"/>
      <c r="G41" s="15" t="s">
        <v>21</v>
      </c>
      <c r="H41" s="19"/>
      <c r="I41" s="34">
        <f>SUM(E41-'Standing data'!$D$11)*'Standing data'!$D$13</f>
        <v>5416.5</v>
      </c>
      <c r="J41" s="13">
        <f>INT(E41*'Standing data'!$B$4)</f>
        <v>7010</v>
      </c>
      <c r="K41" s="34">
        <f>INT(E41*'Standing data'!$B$22)</f>
        <v>241</v>
      </c>
      <c r="L41" s="13">
        <f t="shared" si="0"/>
        <v>61017.5</v>
      </c>
      <c r="M41" s="15"/>
      <c r="N41" s="34">
        <f>((E41-'Standing data'!$D$11)*'Standing data'!$D$13)</f>
        <v>5416.5</v>
      </c>
      <c r="O41" s="34">
        <f>INT(E41*'Standing data'!$B$22)</f>
        <v>241</v>
      </c>
      <c r="P41" s="35">
        <f t="shared" si="1"/>
        <v>54007.5</v>
      </c>
    </row>
    <row r="42" spans="1:16" x14ac:dyDescent="0.25">
      <c r="A42" s="105">
        <v>38</v>
      </c>
      <c r="B42" s="4"/>
      <c r="C42" s="99"/>
      <c r="D42" s="1"/>
      <c r="E42" s="127">
        <v>46974</v>
      </c>
      <c r="F42" s="19"/>
      <c r="G42" s="15" t="s">
        <v>21</v>
      </c>
      <c r="H42" s="19"/>
      <c r="I42" s="34">
        <f>SUM(E42-'Standing data'!$D$11)*'Standing data'!$D$13</f>
        <v>5226.6120000000001</v>
      </c>
      <c r="J42" s="13">
        <f>INT(E42*'Standing data'!$B$4)</f>
        <v>6811</v>
      </c>
      <c r="K42" s="34">
        <f>INT(E42*'Standing data'!$B$22)</f>
        <v>234</v>
      </c>
      <c r="L42" s="13">
        <f t="shared" si="0"/>
        <v>59245.612000000001</v>
      </c>
      <c r="M42" s="15"/>
      <c r="N42" s="34">
        <f>((E42-'Standing data'!$D$11)*'Standing data'!$D$13)</f>
        <v>5226.6120000000001</v>
      </c>
      <c r="O42" s="34">
        <f>INT(E42*'Standing data'!$B$22)</f>
        <v>234</v>
      </c>
      <c r="P42" s="35">
        <f t="shared" si="1"/>
        <v>52434.612000000001</v>
      </c>
    </row>
    <row r="43" spans="1:16" x14ac:dyDescent="0.25">
      <c r="A43" s="105">
        <v>37</v>
      </c>
      <c r="B43" s="4"/>
      <c r="C43" s="99"/>
      <c r="D43" s="1"/>
      <c r="E43" s="127">
        <v>45585</v>
      </c>
      <c r="F43" s="19"/>
      <c r="G43" s="15" t="s">
        <v>21</v>
      </c>
      <c r="H43" s="19"/>
      <c r="I43" s="34">
        <f>SUM(E43-'Standing data'!$D$11)*'Standing data'!$D$13</f>
        <v>5034.93</v>
      </c>
      <c r="J43" s="13">
        <f>INT(E43*'Standing data'!$B$4)</f>
        <v>6609</v>
      </c>
      <c r="K43" s="34">
        <f>INT(E43*'Standing data'!$B$22)</f>
        <v>227</v>
      </c>
      <c r="L43" s="13">
        <f t="shared" si="0"/>
        <v>57455.93</v>
      </c>
      <c r="M43" s="15"/>
      <c r="N43" s="34">
        <f>((E43-'Standing data'!$D$11)*'Standing data'!$D$13)</f>
        <v>5034.93</v>
      </c>
      <c r="O43" s="34">
        <f>INT(E43*'Standing data'!$B$22)</f>
        <v>227</v>
      </c>
      <c r="P43" s="35">
        <f t="shared" si="1"/>
        <v>50846.93</v>
      </c>
    </row>
    <row r="44" spans="1:16" x14ac:dyDescent="0.25">
      <c r="A44" s="105">
        <v>36</v>
      </c>
      <c r="B44" s="4"/>
      <c r="C44" s="8"/>
      <c r="D44" s="1"/>
      <c r="E44" s="127">
        <v>44263</v>
      </c>
      <c r="F44" s="19"/>
      <c r="G44" s="15" t="s">
        <v>21</v>
      </c>
      <c r="H44" s="19"/>
      <c r="I44" s="34">
        <f>SUM(E44-'Standing data'!$D$11)*'Standing data'!$D$13</f>
        <v>4852.4940000000006</v>
      </c>
      <c r="J44" s="13">
        <f>INT(E44*'Standing data'!$B$4)</f>
        <v>6418</v>
      </c>
      <c r="K44" s="34">
        <f>INT(E44*'Standing data'!$B$22)</f>
        <v>221</v>
      </c>
      <c r="L44" s="13">
        <f t="shared" si="0"/>
        <v>55754.493999999999</v>
      </c>
      <c r="M44" s="15"/>
      <c r="N44" s="34">
        <f>((E44-'Standing data'!$D$11)*'Standing data'!$D$13)</f>
        <v>4852.4940000000006</v>
      </c>
      <c r="O44" s="34">
        <f>INT(E44*'Standing data'!$B$22)</f>
        <v>221</v>
      </c>
      <c r="P44" s="35">
        <f t="shared" si="1"/>
        <v>49336.493999999999</v>
      </c>
    </row>
    <row r="45" spans="1:16" x14ac:dyDescent="0.25">
      <c r="A45" s="105">
        <v>35</v>
      </c>
      <c r="B45" s="4"/>
      <c r="C45" s="8"/>
      <c r="D45" s="1"/>
      <c r="E45" s="127">
        <v>42978</v>
      </c>
      <c r="F45" s="19"/>
      <c r="G45" s="15" t="s">
        <v>21</v>
      </c>
      <c r="H45" s="19"/>
      <c r="I45" s="34">
        <f>SUM(E45-'Standing data'!$D$11)*'Standing data'!$D$13</f>
        <v>4675.1640000000007</v>
      </c>
      <c r="J45" s="13">
        <f>INT(E45*'Standing data'!$B$4)</f>
        <v>6231</v>
      </c>
      <c r="K45" s="34">
        <f>INT(E45*'Standing data'!$B$22)</f>
        <v>214</v>
      </c>
      <c r="L45" s="13">
        <f t="shared" si="0"/>
        <v>54098.164000000004</v>
      </c>
      <c r="M45" s="15"/>
      <c r="N45" s="34">
        <f>((E45-'Standing data'!$D$11)*'Standing data'!$D$13)</f>
        <v>4675.1640000000007</v>
      </c>
      <c r="O45" s="34">
        <f>INT(E45*'Standing data'!$B$22)</f>
        <v>214</v>
      </c>
      <c r="P45" s="35">
        <f t="shared" si="1"/>
        <v>47867.164000000004</v>
      </c>
    </row>
    <row r="46" spans="1:16" x14ac:dyDescent="0.25">
      <c r="A46" s="105">
        <v>34</v>
      </c>
      <c r="B46" s="4"/>
      <c r="C46" s="9" t="s">
        <v>6</v>
      </c>
      <c r="D46" s="1"/>
      <c r="E46" s="127">
        <v>41732</v>
      </c>
      <c r="F46" s="19"/>
      <c r="G46" s="15" t="s">
        <v>21</v>
      </c>
      <c r="H46" s="19"/>
      <c r="I46" s="34">
        <f>SUM(E46-'Standing data'!$D$11)*'Standing data'!$D$13</f>
        <v>4503.2160000000003</v>
      </c>
      <c r="J46" s="13">
        <f>INT(E46*'Standing data'!$B$4)</f>
        <v>6051</v>
      </c>
      <c r="K46" s="34">
        <f>INT(E46*'Standing data'!$B$22)</f>
        <v>208</v>
      </c>
      <c r="L46" s="13">
        <f t="shared" si="0"/>
        <v>52494.216</v>
      </c>
      <c r="M46" s="15"/>
      <c r="N46" s="34">
        <f>((E46-'Standing data'!$D$11)*'Standing data'!$D$13)</f>
        <v>4503.2160000000003</v>
      </c>
      <c r="O46" s="34">
        <f>INT(E46*'Standing data'!$B$22)</f>
        <v>208</v>
      </c>
      <c r="P46" s="35">
        <f t="shared" si="1"/>
        <v>46443.216</v>
      </c>
    </row>
    <row r="47" spans="1:16" x14ac:dyDescent="0.25">
      <c r="A47" s="105"/>
      <c r="B47" s="4"/>
      <c r="C47" s="5"/>
      <c r="D47" s="1"/>
      <c r="E47" s="126"/>
      <c r="F47" s="19"/>
      <c r="G47" s="37"/>
      <c r="H47" s="19"/>
      <c r="I47" s="118"/>
      <c r="J47" s="37"/>
      <c r="K47" s="118"/>
      <c r="L47" s="37"/>
      <c r="M47" s="37"/>
      <c r="N47" s="118"/>
      <c r="O47" s="118"/>
      <c r="P47" s="37"/>
    </row>
    <row r="48" spans="1:16" ht="12.75" customHeight="1" x14ac:dyDescent="0.25">
      <c r="A48" s="105">
        <v>31</v>
      </c>
      <c r="B48" s="99"/>
      <c r="C48" s="4"/>
      <c r="D48" s="1"/>
      <c r="E48" s="127">
        <v>38205</v>
      </c>
      <c r="F48" s="19"/>
      <c r="G48" s="15" t="s">
        <v>21</v>
      </c>
      <c r="H48" s="19"/>
      <c r="I48" s="34">
        <f>SUM(E48-'Standing data'!$D$11)*'Standing data'!$D$13</f>
        <v>4016.4900000000002</v>
      </c>
      <c r="J48" s="13">
        <f>INT(E48*'Standing data'!$B$4)</f>
        <v>5539</v>
      </c>
      <c r="K48" s="34">
        <f>INT(E48*'Standing data'!$B$22)</f>
        <v>191</v>
      </c>
      <c r="L48" s="13">
        <f t="shared" si="0"/>
        <v>47951.49</v>
      </c>
      <c r="M48" s="15"/>
      <c r="N48" s="34">
        <f>((E48-'Standing data'!$D$11)*'Standing data'!$D$13)</f>
        <v>4016.4900000000002</v>
      </c>
      <c r="O48" s="34">
        <f>INT(E48*'Standing data'!$B$22)</f>
        <v>191</v>
      </c>
      <c r="P48" s="35">
        <f t="shared" si="1"/>
        <v>42412.49</v>
      </c>
    </row>
    <row r="49" spans="1:16" x14ac:dyDescent="0.25">
      <c r="A49" s="105">
        <v>30</v>
      </c>
      <c r="B49" s="99"/>
      <c r="C49" s="4"/>
      <c r="D49" s="1"/>
      <c r="E49" s="127">
        <v>37099</v>
      </c>
      <c r="F49" s="19"/>
      <c r="G49" s="15" t="s">
        <v>21</v>
      </c>
      <c r="H49" s="19"/>
      <c r="I49" s="34">
        <f>SUM(E49-'Standing data'!$D$11)*'Standing data'!$D$13</f>
        <v>3863.8620000000005</v>
      </c>
      <c r="J49" s="13">
        <f>INT(E49*'Standing data'!$B$4)</f>
        <v>5379</v>
      </c>
      <c r="K49" s="34">
        <f>INT(E49*'Standing data'!$B$22)</f>
        <v>185</v>
      </c>
      <c r="L49" s="13">
        <f t="shared" si="0"/>
        <v>46526.862000000001</v>
      </c>
      <c r="M49" s="15"/>
      <c r="N49" s="34">
        <f>((E49-'Standing data'!$D$11)*'Standing data'!$D$13)</f>
        <v>3863.8620000000005</v>
      </c>
      <c r="O49" s="34">
        <f>INT(E49*'Standing data'!$B$22)</f>
        <v>185</v>
      </c>
      <c r="P49" s="35">
        <f t="shared" si="1"/>
        <v>41147.862000000001</v>
      </c>
    </row>
    <row r="50" spans="1:16" x14ac:dyDescent="0.25">
      <c r="A50" s="105">
        <v>29</v>
      </c>
      <c r="B50" s="120"/>
      <c r="C50" s="4"/>
      <c r="D50" s="1"/>
      <c r="E50" s="127">
        <v>36024</v>
      </c>
      <c r="F50" s="19"/>
      <c r="G50" s="15" t="s">
        <v>21</v>
      </c>
      <c r="H50" s="19"/>
      <c r="I50" s="34">
        <f>SUM(E50-'Standing data'!$D$11)*'Standing data'!$D$13</f>
        <v>3715.5120000000002</v>
      </c>
      <c r="J50" s="13">
        <f>INT(E50*'Standing data'!$B$4)</f>
        <v>5223</v>
      </c>
      <c r="K50" s="34">
        <f>INT(E50*'Standing data'!$B$22)</f>
        <v>180</v>
      </c>
      <c r="L50" s="13">
        <f t="shared" si="0"/>
        <v>45142.512000000002</v>
      </c>
      <c r="M50" s="15"/>
      <c r="N50" s="34">
        <f>((E50-'Standing data'!$D$11)*'Standing data'!$D$13)</f>
        <v>3715.5120000000002</v>
      </c>
      <c r="O50" s="34">
        <f>INT(E50*'Standing data'!$B$22)</f>
        <v>180</v>
      </c>
      <c r="P50" s="35">
        <f t="shared" si="1"/>
        <v>39919.512000000002</v>
      </c>
    </row>
    <row r="51" spans="1:16" x14ac:dyDescent="0.25">
      <c r="A51" s="105">
        <v>28</v>
      </c>
      <c r="B51" s="120"/>
      <c r="C51" s="4"/>
      <c r="D51" s="1"/>
      <c r="E51" s="127">
        <v>34980</v>
      </c>
      <c r="F51" s="19"/>
      <c r="G51" s="15" t="s">
        <v>21</v>
      </c>
      <c r="H51" s="19"/>
      <c r="I51" s="34">
        <f>SUM(E51-'Standing data'!$D$11)*'Standing data'!$D$13</f>
        <v>3571.4400000000005</v>
      </c>
      <c r="J51" s="13">
        <f>INT(E51*'Standing data'!$B$4)</f>
        <v>5072</v>
      </c>
      <c r="K51" s="34">
        <f>INT(E51*'Standing data'!$B$22)</f>
        <v>174</v>
      </c>
      <c r="L51" s="13">
        <f t="shared" si="0"/>
        <v>43797.440000000002</v>
      </c>
      <c r="M51" s="15"/>
      <c r="N51" s="34">
        <f>((E51-'Standing data'!$D$11)*'Standing data'!$D$13)</f>
        <v>3571.4400000000005</v>
      </c>
      <c r="O51" s="34">
        <f>INT(E51*'Standing data'!$B$22)</f>
        <v>174</v>
      </c>
      <c r="P51" s="35">
        <f t="shared" si="1"/>
        <v>38725.440000000002</v>
      </c>
    </row>
    <row r="52" spans="1:16" x14ac:dyDescent="0.25">
      <c r="A52" s="105">
        <v>27</v>
      </c>
      <c r="B52" s="10"/>
      <c r="C52" s="4"/>
      <c r="D52" s="115"/>
      <c r="E52" s="127">
        <v>33966</v>
      </c>
      <c r="F52" s="21"/>
      <c r="G52" s="15" t="s">
        <v>21</v>
      </c>
      <c r="H52" s="21"/>
      <c r="I52" s="34">
        <f>SUM(E52-'Standing data'!$D$11)*'Standing data'!$D$13</f>
        <v>3431.5080000000003</v>
      </c>
      <c r="J52" s="13">
        <f>INT(E52*'Standing data'!$B$4)</f>
        <v>4925</v>
      </c>
      <c r="K52" s="34">
        <f>INT(E52*'Standing data'!$B$22)</f>
        <v>169</v>
      </c>
      <c r="L52" s="13">
        <f t="shared" si="0"/>
        <v>42491.508000000002</v>
      </c>
      <c r="M52" s="15"/>
      <c r="N52" s="34">
        <f>((E52-'Standing data'!$D$11)*'Standing data'!$D$13)</f>
        <v>3431.5080000000003</v>
      </c>
      <c r="O52" s="34">
        <f>INT(E52*'Standing data'!$B$22)</f>
        <v>169</v>
      </c>
      <c r="P52" s="35">
        <f t="shared" si="1"/>
        <v>37566.508000000002</v>
      </c>
    </row>
    <row r="53" spans="1:16" x14ac:dyDescent="0.25">
      <c r="A53" s="105">
        <v>26</v>
      </c>
      <c r="B53" s="8"/>
      <c r="C53" s="4"/>
      <c r="D53" s="1"/>
      <c r="E53" s="127">
        <v>32982</v>
      </c>
      <c r="F53" s="19"/>
      <c r="G53" s="15" t="s">
        <v>21</v>
      </c>
      <c r="H53" s="19"/>
      <c r="I53" s="34">
        <f>SUM(E53-'Standing data'!$D$11)*'Standing data'!$D$13</f>
        <v>3295.7160000000003</v>
      </c>
      <c r="J53" s="13">
        <f>INT(E53*'Standing data'!$B$4)</f>
        <v>4782</v>
      </c>
      <c r="K53" s="34">
        <f>INT(E53*'Standing data'!$B$22)</f>
        <v>164</v>
      </c>
      <c r="L53" s="13">
        <f t="shared" si="0"/>
        <v>41223.716</v>
      </c>
      <c r="M53" s="15"/>
      <c r="N53" s="34">
        <f>((E53-'Standing data'!$D$11)*'Standing data'!$D$13)</f>
        <v>3295.7160000000003</v>
      </c>
      <c r="O53" s="34">
        <f>INT(E53*'Standing data'!$B$22)</f>
        <v>164</v>
      </c>
      <c r="P53" s="35">
        <f t="shared" si="1"/>
        <v>36441.716</v>
      </c>
    </row>
    <row r="54" spans="1:16" x14ac:dyDescent="0.25">
      <c r="A54" s="105">
        <v>25</v>
      </c>
      <c r="B54" s="9" t="s">
        <v>5</v>
      </c>
      <c r="C54" s="4"/>
      <c r="D54" s="1"/>
      <c r="E54" s="127">
        <v>32332</v>
      </c>
      <c r="F54" s="19"/>
      <c r="G54" s="15" t="s">
        <v>21</v>
      </c>
      <c r="H54" s="19"/>
      <c r="I54" s="34">
        <f>SUM(E54-'Standing data'!$D$11)*'Standing data'!$D$13</f>
        <v>3206.0160000000001</v>
      </c>
      <c r="J54" s="13">
        <f>INT(E54*'Standing data'!$B$4)</f>
        <v>4688</v>
      </c>
      <c r="K54" s="34">
        <f>INT(E54*'Standing data'!$B$22)</f>
        <v>161</v>
      </c>
      <c r="L54" s="13">
        <f t="shared" si="0"/>
        <v>40387.016000000003</v>
      </c>
      <c r="M54" s="15"/>
      <c r="N54" s="34">
        <f>((E54-'Standing data'!$D$11)*'Standing data'!$D$13)</f>
        <v>3206.0160000000001</v>
      </c>
      <c r="O54" s="34">
        <f>INT(E54*'Standing data'!$B$22)</f>
        <v>161</v>
      </c>
      <c r="P54" s="35">
        <f t="shared" si="1"/>
        <v>35699.016000000003</v>
      </c>
    </row>
    <row r="55" spans="1:16" x14ac:dyDescent="0.25">
      <c r="A55" s="105"/>
      <c r="B55" s="4"/>
      <c r="C55" s="4"/>
      <c r="D55" s="1"/>
      <c r="E55" s="124"/>
      <c r="F55" s="19"/>
      <c r="G55" s="93"/>
      <c r="H55" s="19"/>
      <c r="I55" s="118"/>
      <c r="J55" s="125"/>
      <c r="K55" s="118"/>
      <c r="L55" s="15"/>
      <c r="M55" s="15"/>
      <c r="N55" s="118"/>
      <c r="O55" s="118"/>
      <c r="P55" s="37"/>
    </row>
    <row r="56" spans="1:16" x14ac:dyDescent="0.25">
      <c r="A56" s="105">
        <v>22</v>
      </c>
      <c r="B56" s="5"/>
      <c r="C56" s="8"/>
      <c r="D56" s="1"/>
      <c r="E56" s="127">
        <v>29605</v>
      </c>
      <c r="F56" s="19"/>
      <c r="G56" s="93" t="s">
        <v>102</v>
      </c>
      <c r="H56" s="19"/>
      <c r="I56" s="34">
        <f>SUM(E56-'Standing data'!$D$11)*'Standing data'!$D$13</f>
        <v>2829.69</v>
      </c>
      <c r="J56" s="20">
        <f>INT(E56*'Standing data'!$B$5)</f>
        <v>3552</v>
      </c>
      <c r="K56" s="34">
        <f>INT(E56*'Standing data'!$B$22)</f>
        <v>148</v>
      </c>
      <c r="L56" s="13">
        <f t="shared" si="0"/>
        <v>36134.69</v>
      </c>
      <c r="M56" s="15"/>
      <c r="N56" s="34">
        <f>((E56-'Standing data'!$D$11)*'Standing data'!$D$13)</f>
        <v>2829.69</v>
      </c>
      <c r="O56" s="34">
        <f>INT(E56*'Standing data'!$B$22)</f>
        <v>148</v>
      </c>
      <c r="P56" s="35">
        <f t="shared" si="1"/>
        <v>32582.69</v>
      </c>
    </row>
    <row r="57" spans="1:16" x14ac:dyDescent="0.25">
      <c r="A57" s="105">
        <v>21</v>
      </c>
      <c r="B57" s="5"/>
      <c r="C57" s="9"/>
      <c r="D57" s="1"/>
      <c r="E57" s="127">
        <v>28759</v>
      </c>
      <c r="F57" s="19"/>
      <c r="G57" s="93" t="s">
        <v>102</v>
      </c>
      <c r="H57" s="19"/>
      <c r="I57" s="34">
        <f>SUM(E57-'Standing data'!$D$11)*'Standing data'!$D$13</f>
        <v>2712.942</v>
      </c>
      <c r="J57" s="20">
        <f>INT(E57*'Standing data'!$B$5)</f>
        <v>3451</v>
      </c>
      <c r="K57" s="34">
        <f>INT(E57*'Standing data'!$B$22)</f>
        <v>143</v>
      </c>
      <c r="L57" s="13">
        <f t="shared" si="0"/>
        <v>35065.941999999995</v>
      </c>
      <c r="M57" s="15"/>
      <c r="N57" s="34">
        <f>((E57-'Standing data'!$D$11)*'Standing data'!$D$13)</f>
        <v>2712.942</v>
      </c>
      <c r="O57" s="34">
        <f>INT(E57*'Standing data'!$B$22)</f>
        <v>143</v>
      </c>
      <c r="P57" s="35">
        <f t="shared" si="1"/>
        <v>31614.941999999999</v>
      </c>
    </row>
    <row r="58" spans="1:16" x14ac:dyDescent="0.25">
      <c r="A58" s="105">
        <v>20</v>
      </c>
      <c r="B58" s="44"/>
      <c r="C58" s="9"/>
      <c r="D58" s="1"/>
      <c r="E58" s="127">
        <v>27979</v>
      </c>
      <c r="F58" s="19"/>
      <c r="G58" s="93" t="s">
        <v>102</v>
      </c>
      <c r="H58" s="19"/>
      <c r="I58" s="34">
        <f>SUM(E58-'Standing data'!$D$11)*'Standing data'!$D$13</f>
        <v>2605.3020000000001</v>
      </c>
      <c r="J58" s="20">
        <f>INT(E58*'Standing data'!$B$5)</f>
        <v>3357</v>
      </c>
      <c r="K58" s="34">
        <f>INT(E58*'Standing data'!$B$22)</f>
        <v>139</v>
      </c>
      <c r="L58" s="13">
        <f t="shared" si="0"/>
        <v>34080.301999999996</v>
      </c>
      <c r="M58" s="15"/>
      <c r="N58" s="34">
        <f>((E58-'Standing data'!$D$11)*'Standing data'!$D$13)</f>
        <v>2605.3020000000001</v>
      </c>
      <c r="O58" s="34">
        <f>INT(E58*'Standing data'!$B$22)</f>
        <v>139</v>
      </c>
      <c r="P58" s="35">
        <f t="shared" si="1"/>
        <v>30723.302</v>
      </c>
    </row>
    <row r="59" spans="1:16" x14ac:dyDescent="0.25">
      <c r="A59" s="105">
        <v>19</v>
      </c>
      <c r="B59" s="44"/>
      <c r="C59" s="8"/>
      <c r="D59" s="1"/>
      <c r="E59" s="127">
        <v>27181</v>
      </c>
      <c r="F59" s="19"/>
      <c r="G59" s="93" t="s">
        <v>102</v>
      </c>
      <c r="H59" s="19"/>
      <c r="I59" s="34">
        <f>SUM(E59-'Standing data'!$D$11)*'Standing data'!$D$13</f>
        <v>2495.1780000000003</v>
      </c>
      <c r="J59" s="20">
        <f>INT(E59*'Standing data'!$B$5)</f>
        <v>3261</v>
      </c>
      <c r="K59" s="34">
        <f>INT(E59*'Standing data'!$B$22)</f>
        <v>135</v>
      </c>
      <c r="L59" s="13">
        <f t="shared" si="0"/>
        <v>33072.178</v>
      </c>
      <c r="M59" s="15"/>
      <c r="N59" s="34">
        <f>((E59-'Standing data'!$D$11)*'Standing data'!$D$13)</f>
        <v>2495.1780000000003</v>
      </c>
      <c r="O59" s="34">
        <f>INT(E59*'Standing data'!$B$22)</f>
        <v>135</v>
      </c>
      <c r="P59" s="35">
        <f t="shared" si="1"/>
        <v>29811.178</v>
      </c>
    </row>
    <row r="60" spans="1:16" x14ac:dyDescent="0.25">
      <c r="A60" s="105">
        <v>18</v>
      </c>
      <c r="B60" s="44"/>
      <c r="C60" s="9" t="s">
        <v>1</v>
      </c>
      <c r="D60" s="1"/>
      <c r="E60" s="127">
        <v>26444</v>
      </c>
      <c r="F60" s="19"/>
      <c r="G60" s="93" t="s">
        <v>102</v>
      </c>
      <c r="H60" s="19"/>
      <c r="I60" s="34">
        <f>SUM(E60-'Standing data'!$D$11)*'Standing data'!$D$13</f>
        <v>2393.4720000000002</v>
      </c>
      <c r="J60" s="20">
        <f>INT(E60*'Standing data'!$B$5)</f>
        <v>3173</v>
      </c>
      <c r="K60" s="34">
        <f>INT(E60*'Standing data'!$B$22)</f>
        <v>132</v>
      </c>
      <c r="L60" s="13">
        <f t="shared" si="0"/>
        <v>32142.472000000002</v>
      </c>
      <c r="M60" s="15"/>
      <c r="N60" s="34">
        <f>((E60-'Standing data'!$D$11)*'Standing data'!$D$13)</f>
        <v>2393.4720000000002</v>
      </c>
      <c r="O60" s="34">
        <f>INT(E60*'Standing data'!$B$22)</f>
        <v>132</v>
      </c>
      <c r="P60" s="35">
        <f t="shared" si="1"/>
        <v>28969.472000000002</v>
      </c>
    </row>
    <row r="61" spans="1:16" x14ac:dyDescent="0.25">
      <c r="A61" s="105"/>
      <c r="B61" s="5"/>
      <c r="C61" s="4"/>
      <c r="D61" s="1"/>
      <c r="E61" s="117"/>
      <c r="F61" s="19"/>
      <c r="G61" s="116"/>
      <c r="H61" s="19"/>
      <c r="I61" s="118"/>
      <c r="J61" s="36"/>
      <c r="K61" s="118"/>
      <c r="L61" s="37"/>
      <c r="M61" s="37"/>
      <c r="N61" s="118"/>
      <c r="O61" s="118"/>
      <c r="P61" s="37"/>
    </row>
    <row r="62" spans="1:16" x14ac:dyDescent="0.25">
      <c r="A62" s="105" t="s">
        <v>106</v>
      </c>
      <c r="B62" s="9"/>
      <c r="C62" s="4"/>
      <c r="D62" s="1"/>
      <c r="E62" s="128">
        <v>27069</v>
      </c>
      <c r="F62" s="19"/>
      <c r="G62" s="93" t="s">
        <v>102</v>
      </c>
      <c r="H62" s="19"/>
      <c r="I62" s="34">
        <f>SUM(E62-'Standing data'!$D$11)*'Standing data'!$D$13</f>
        <v>2479.7220000000002</v>
      </c>
      <c r="J62" s="20">
        <f>INT(E62*'Standing data'!$B$5)</f>
        <v>3248</v>
      </c>
      <c r="K62" s="34">
        <f>INT(E62*'Standing data'!$B$22)</f>
        <v>135</v>
      </c>
      <c r="L62" s="13">
        <f t="shared" si="0"/>
        <v>32931.722000000002</v>
      </c>
      <c r="M62" s="15"/>
      <c r="N62" s="34">
        <f>((E62-'Standing data'!$D$11)*'Standing data'!$D$13)</f>
        <v>2479.7220000000002</v>
      </c>
      <c r="O62" s="34">
        <f>INT(E62*'Standing data'!$B$22)</f>
        <v>135</v>
      </c>
      <c r="P62" s="35">
        <f t="shared" si="1"/>
        <v>29683.722000000002</v>
      </c>
    </row>
    <row r="63" spans="1:16" x14ac:dyDescent="0.25">
      <c r="A63" s="105" t="s">
        <v>107</v>
      </c>
      <c r="B63" s="9"/>
      <c r="C63" s="4"/>
      <c r="D63" s="1"/>
      <c r="E63" s="128">
        <v>26538</v>
      </c>
      <c r="F63" s="19"/>
      <c r="G63" s="93" t="s">
        <v>102</v>
      </c>
      <c r="H63" s="19"/>
      <c r="I63" s="34">
        <f>SUM(E63-'Standing data'!$D$11)*'Standing data'!$D$13</f>
        <v>2406.4440000000004</v>
      </c>
      <c r="J63" s="20">
        <f>INT(E63*'Standing data'!$B$5)</f>
        <v>3184</v>
      </c>
      <c r="K63" s="34">
        <f>INT(E63*'Standing data'!$B$22)</f>
        <v>132</v>
      </c>
      <c r="L63" s="13">
        <f t="shared" si="0"/>
        <v>32260.444</v>
      </c>
      <c r="M63" s="15"/>
      <c r="N63" s="34">
        <f>((E63-'Standing data'!$D$11)*'Standing data'!$D$13)</f>
        <v>2406.4440000000004</v>
      </c>
      <c r="O63" s="34">
        <f>INT(E63*'Standing data'!$B$22)</f>
        <v>132</v>
      </c>
      <c r="P63" s="35">
        <f t="shared" si="1"/>
        <v>29076.444</v>
      </c>
    </row>
    <row r="64" spans="1:16" x14ac:dyDescent="0.25">
      <c r="A64" s="105" t="s">
        <v>108</v>
      </c>
      <c r="B64" s="8"/>
      <c r="C64" s="4"/>
      <c r="D64" s="1"/>
      <c r="E64" s="128">
        <v>26017</v>
      </c>
      <c r="F64" s="19"/>
      <c r="G64" s="93" t="s">
        <v>102</v>
      </c>
      <c r="H64" s="19"/>
      <c r="I64" s="34">
        <f>SUM(E64-'Standing data'!$D$11)*'Standing data'!$D$13</f>
        <v>2334.5460000000003</v>
      </c>
      <c r="J64" s="20">
        <f>INT(E64*'Standing data'!$B$5)</f>
        <v>3122</v>
      </c>
      <c r="K64" s="34">
        <f>INT(E64*'Standing data'!$B$22)</f>
        <v>130</v>
      </c>
      <c r="L64" s="13">
        <f t="shared" si="0"/>
        <v>31603.546000000002</v>
      </c>
      <c r="M64" s="15"/>
      <c r="N64" s="34">
        <f>((E64-'Standing data'!$D$11)*'Standing data'!$D$13)</f>
        <v>2334.5460000000003</v>
      </c>
      <c r="O64" s="34">
        <f>INT(E64*'Standing data'!$B$22)</f>
        <v>130</v>
      </c>
      <c r="P64" s="35">
        <f t="shared" si="1"/>
        <v>28481.546000000002</v>
      </c>
    </row>
    <row r="65" spans="1:17" x14ac:dyDescent="0.25">
      <c r="A65" s="105" t="s">
        <v>109</v>
      </c>
      <c r="B65" s="8"/>
      <c r="C65" s="4"/>
      <c r="D65" s="1"/>
      <c r="E65" s="128">
        <v>25507</v>
      </c>
      <c r="F65" s="19"/>
      <c r="G65" s="93" t="s">
        <v>102</v>
      </c>
      <c r="H65" s="19"/>
      <c r="I65" s="34">
        <f>SUM(E65-'Standing data'!$D$11)*'Standing data'!$D$13</f>
        <v>2264.1660000000002</v>
      </c>
      <c r="J65" s="20">
        <f>INT(E65*'Standing data'!$B$5)</f>
        <v>3060</v>
      </c>
      <c r="K65" s="34">
        <f>INT(E65*'Standing data'!$B$22)</f>
        <v>127</v>
      </c>
      <c r="L65" s="13">
        <f t="shared" ref="L65:L70" si="2">E65+I65+J65+K65</f>
        <v>30958.166000000001</v>
      </c>
      <c r="M65" s="15"/>
      <c r="N65" s="34">
        <f>((E65-'Standing data'!$D$11)*'Standing data'!$D$13)</f>
        <v>2264.1660000000002</v>
      </c>
      <c r="O65" s="34">
        <f>INT(E65*'Standing data'!$B$22)</f>
        <v>127</v>
      </c>
      <c r="P65" s="35">
        <f t="shared" ref="P65:P70" si="3">E65+N65+O65</f>
        <v>27898.166000000001</v>
      </c>
    </row>
    <row r="66" spans="1:17" x14ac:dyDescent="0.25">
      <c r="A66" s="105" t="s">
        <v>110</v>
      </c>
      <c r="B66" s="9" t="s">
        <v>2</v>
      </c>
      <c r="C66" s="5"/>
      <c r="D66" s="1"/>
      <c r="E66" s="128">
        <v>25007</v>
      </c>
      <c r="F66" s="19"/>
      <c r="G66" s="93" t="s">
        <v>102</v>
      </c>
      <c r="H66" s="19"/>
      <c r="I66" s="34">
        <f>SUM(E66-'Standing data'!$D$11)*'Standing data'!$D$13</f>
        <v>2195.1660000000002</v>
      </c>
      <c r="J66" s="20">
        <f>INT(E66*'Standing data'!$B$5)</f>
        <v>3000</v>
      </c>
      <c r="K66" s="34">
        <f>INT(E66*'Standing data'!$B$22)</f>
        <v>125</v>
      </c>
      <c r="L66" s="13">
        <f t="shared" si="2"/>
        <v>30327.166000000001</v>
      </c>
      <c r="M66" s="15"/>
      <c r="N66" s="34">
        <f>((E66-'Standing data'!$D$11)*'Standing data'!$D$13)</f>
        <v>2195.1660000000002</v>
      </c>
      <c r="O66" s="34">
        <f>INT(E66*'Standing data'!$B$22)</f>
        <v>125</v>
      </c>
      <c r="P66" s="35">
        <f t="shared" si="3"/>
        <v>27327.166000000001</v>
      </c>
    </row>
    <row r="67" spans="1:17" x14ac:dyDescent="0.25">
      <c r="A67" s="105" t="s">
        <v>111</v>
      </c>
      <c r="B67" s="4"/>
      <c r="C67" s="123"/>
      <c r="D67" s="1"/>
      <c r="E67" s="128">
        <v>23816</v>
      </c>
      <c r="F67" s="19"/>
      <c r="G67" s="93" t="s">
        <v>102</v>
      </c>
      <c r="H67" s="19"/>
      <c r="I67" s="34">
        <f>SUM(E67-'Standing data'!$D$11)*'Standing data'!$D$13</f>
        <v>2030.8080000000002</v>
      </c>
      <c r="J67" s="20">
        <f>INT(E67*'Standing data'!$B$5)</f>
        <v>2857</v>
      </c>
      <c r="K67" s="34">
        <f>INT(E67*'Standing data'!$B$22)</f>
        <v>119</v>
      </c>
      <c r="L67" s="13">
        <f t="shared" si="2"/>
        <v>28822.808000000001</v>
      </c>
      <c r="M67" s="15"/>
      <c r="N67" s="34">
        <f>((E67-'Standing data'!$D$11)*'Standing data'!$D$13)</f>
        <v>2030.8080000000002</v>
      </c>
      <c r="O67" s="34">
        <f>INT(E67*'Standing data'!$B$22)</f>
        <v>119</v>
      </c>
      <c r="P67" s="35">
        <f t="shared" si="3"/>
        <v>25965.808000000001</v>
      </c>
    </row>
    <row r="68" spans="1:17" x14ac:dyDescent="0.25">
      <c r="A68" s="105" t="s">
        <v>112</v>
      </c>
      <c r="B68" s="5"/>
      <c r="C68" s="123"/>
      <c r="D68" s="1"/>
      <c r="E68" s="128">
        <v>23464</v>
      </c>
      <c r="F68" s="19"/>
      <c r="G68" s="93" t="s">
        <v>102</v>
      </c>
      <c r="H68" s="19"/>
      <c r="I68" s="34">
        <f>SUM(E68-'Standing data'!$D$11)*'Standing data'!$D$13</f>
        <v>1982.2320000000002</v>
      </c>
      <c r="J68" s="20">
        <f>INT(E68*'Standing data'!$B$5)</f>
        <v>2815</v>
      </c>
      <c r="K68" s="34">
        <f>INT(E68*'Standing data'!$B$22)</f>
        <v>117</v>
      </c>
      <c r="L68" s="13">
        <f t="shared" si="2"/>
        <v>28378.232</v>
      </c>
      <c r="M68" s="15"/>
      <c r="N68" s="34">
        <f>((E68-'Standing data'!$D$11)*'Standing data'!$D$13)</f>
        <v>1982.2320000000002</v>
      </c>
      <c r="O68" s="34">
        <f>INT(E68*'Standing data'!$B$22)</f>
        <v>117</v>
      </c>
      <c r="P68" s="35">
        <f t="shared" si="3"/>
        <v>25563.232</v>
      </c>
    </row>
    <row r="69" spans="1:17" x14ac:dyDescent="0.25">
      <c r="A69" s="105" t="s">
        <v>113</v>
      </c>
      <c r="B69" s="4"/>
      <c r="C69" s="8"/>
      <c r="D69" s="1"/>
      <c r="E69" s="128">
        <v>23118</v>
      </c>
      <c r="F69" s="19"/>
      <c r="G69" s="93" t="s">
        <v>102</v>
      </c>
      <c r="H69" s="19"/>
      <c r="I69" s="34">
        <f>SUM(E69-'Standing data'!$D$11)*'Standing data'!$D$13</f>
        <v>1934.4840000000002</v>
      </c>
      <c r="J69" s="20">
        <f>INT(E69*'Standing data'!$B$5)</f>
        <v>2774</v>
      </c>
      <c r="K69" s="34">
        <f>INT(E69*'Standing data'!$B$22)</f>
        <v>115</v>
      </c>
      <c r="L69" s="13">
        <f t="shared" si="2"/>
        <v>27941.484</v>
      </c>
      <c r="M69" s="15"/>
      <c r="N69" s="34">
        <f>((E69-'Standing data'!$D$11)*'Standing data'!$D$13)</f>
        <v>1934.4840000000002</v>
      </c>
      <c r="O69" s="34">
        <f>INT(E69*'Standing data'!$B$22)</f>
        <v>115</v>
      </c>
      <c r="P69" s="35">
        <f t="shared" si="3"/>
        <v>25167.484</v>
      </c>
    </row>
    <row r="70" spans="1:17" x14ac:dyDescent="0.25">
      <c r="A70" s="105" t="s">
        <v>114</v>
      </c>
      <c r="B70" s="5"/>
      <c r="C70" s="9" t="s">
        <v>3</v>
      </c>
      <c r="D70" s="1"/>
      <c r="E70" s="128">
        <v>22776</v>
      </c>
      <c r="F70" s="19"/>
      <c r="G70" s="93" t="s">
        <v>102</v>
      </c>
      <c r="H70" s="19"/>
      <c r="I70" s="34">
        <f>SUM(E70-'Standing data'!$D$11)*'Standing data'!$D$13</f>
        <v>1887.2880000000002</v>
      </c>
      <c r="J70" s="20">
        <f>INT(E70*'Standing data'!$B$5)</f>
        <v>2733</v>
      </c>
      <c r="K70" s="34">
        <f>INT(E70*'Standing data'!$B$22)</f>
        <v>113</v>
      </c>
      <c r="L70" s="13">
        <f t="shared" si="2"/>
        <v>27509.288</v>
      </c>
      <c r="M70" s="15"/>
      <c r="N70" s="34">
        <f>((E70-'Standing data'!$D$11)*'Standing data'!$D$13)</f>
        <v>1887.2880000000002</v>
      </c>
      <c r="O70" s="34">
        <f>INT(E70*'Standing data'!$B$22)</f>
        <v>113</v>
      </c>
      <c r="P70" s="35">
        <f t="shared" si="3"/>
        <v>24776.288</v>
      </c>
    </row>
    <row r="71" spans="1:17" ht="13" x14ac:dyDescent="0.3">
      <c r="A71" s="30"/>
      <c r="B71" s="5"/>
      <c r="C71" s="3"/>
      <c r="D71" s="1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7" x14ac:dyDescent="0.25">
      <c r="A72" s="18"/>
      <c r="B72" s="3"/>
      <c r="D72" s="1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7" ht="24.75" customHeight="1" x14ac:dyDescent="0.25">
      <c r="A73" s="134" t="s">
        <v>31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1:17" ht="24.75" customHeight="1" x14ac:dyDescent="0.25">
      <c r="A74" s="133" t="s">
        <v>103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43"/>
    </row>
    <row r="75" spans="1:17" x14ac:dyDescent="0.25">
      <c r="A75" s="94" t="s">
        <v>104</v>
      </c>
      <c r="B75" s="3"/>
      <c r="C75" s="3"/>
      <c r="D75" s="1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7" ht="13" x14ac:dyDescent="0.3">
      <c r="A76" s="33" t="s">
        <v>17</v>
      </c>
      <c r="B76" s="3"/>
      <c r="C76" s="3"/>
      <c r="D76" s="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7" ht="13" x14ac:dyDescent="0.3">
      <c r="A77" s="33"/>
      <c r="B77" s="3"/>
      <c r="C77" s="3"/>
      <c r="D77" s="1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7" ht="13" x14ac:dyDescent="0.3">
      <c r="A78" s="1"/>
      <c r="B78" s="3"/>
      <c r="C78" s="3"/>
      <c r="D78" s="1"/>
      <c r="E78" s="2"/>
      <c r="F78" s="17"/>
      <c r="G78" s="129" t="s">
        <v>28</v>
      </c>
      <c r="H78" s="130"/>
      <c r="I78" s="130"/>
      <c r="J78" s="130"/>
      <c r="K78" s="130"/>
      <c r="L78" s="131"/>
      <c r="M78" s="17"/>
      <c r="N78" s="17"/>
      <c r="O78" s="17"/>
      <c r="P78" s="17"/>
    </row>
    <row r="79" spans="1:17" ht="37.5" x14ac:dyDescent="0.3">
      <c r="A79" s="108" t="s">
        <v>0</v>
      </c>
      <c r="B79" s="3"/>
      <c r="C79" s="3"/>
      <c r="D79" s="1"/>
      <c r="E79" s="122" t="s">
        <v>119</v>
      </c>
      <c r="F79" s="22"/>
      <c r="G79" s="119" t="s">
        <v>29</v>
      </c>
      <c r="H79" s="22"/>
      <c r="I79" s="113" t="s">
        <v>15</v>
      </c>
      <c r="J79" s="119" t="s">
        <v>30</v>
      </c>
      <c r="K79" s="119"/>
      <c r="L79" s="113" t="s">
        <v>16</v>
      </c>
      <c r="M79" s="16"/>
      <c r="N79" s="16"/>
      <c r="O79" s="16"/>
      <c r="P79" s="16"/>
    </row>
    <row r="80" spans="1:17" x14ac:dyDescent="0.25">
      <c r="A80" s="105">
        <v>31</v>
      </c>
      <c r="B80" s="99"/>
      <c r="C80" s="4"/>
      <c r="D80" s="1"/>
      <c r="E80" s="127">
        <v>38205</v>
      </c>
      <c r="F80" s="19"/>
      <c r="G80" s="93" t="s">
        <v>102</v>
      </c>
      <c r="H80" s="19"/>
      <c r="I80" s="34">
        <f>SUM(E80-'Standing data'!$D$11)*'Standing data'!$D$13</f>
        <v>4016.4900000000002</v>
      </c>
      <c r="J80" s="14">
        <f>INT(E80*'Standing data'!$B$5)</f>
        <v>4584</v>
      </c>
      <c r="K80" s="34">
        <f>INT(E80*'Standing data'!$B$22)</f>
        <v>191</v>
      </c>
      <c r="L80" s="13">
        <f t="shared" ref="L80:L86" si="4">E80+I80+J80</f>
        <v>46805.49</v>
      </c>
      <c r="M80" s="15"/>
      <c r="N80" s="36"/>
      <c r="O80" s="36"/>
      <c r="P80" s="37"/>
    </row>
    <row r="81" spans="1:16" x14ac:dyDescent="0.25">
      <c r="A81" s="105">
        <v>30</v>
      </c>
      <c r="B81" s="99"/>
      <c r="C81" s="4"/>
      <c r="D81" s="1"/>
      <c r="E81" s="127">
        <v>37099</v>
      </c>
      <c r="F81" s="19"/>
      <c r="G81" s="93" t="s">
        <v>102</v>
      </c>
      <c r="H81" s="19"/>
      <c r="I81" s="34">
        <f>SUM(E81-'Standing data'!$D$11)*'Standing data'!$D$13</f>
        <v>3863.8620000000005</v>
      </c>
      <c r="J81" s="14">
        <f>INT(E81*'Standing data'!$B$5)</f>
        <v>4451</v>
      </c>
      <c r="K81" s="34">
        <f>INT(E81*'Standing data'!$B$22)</f>
        <v>185</v>
      </c>
      <c r="L81" s="13">
        <f t="shared" si="4"/>
        <v>45413.862000000001</v>
      </c>
      <c r="M81" s="15"/>
      <c r="N81" s="36"/>
      <c r="O81" s="36"/>
      <c r="P81" s="37"/>
    </row>
    <row r="82" spans="1:16" x14ac:dyDescent="0.25">
      <c r="A82" s="105">
        <v>29</v>
      </c>
      <c r="B82" s="120"/>
      <c r="C82" s="4"/>
      <c r="D82" s="1"/>
      <c r="E82" s="127">
        <v>36024</v>
      </c>
      <c r="F82" s="19"/>
      <c r="G82" s="93" t="s">
        <v>102</v>
      </c>
      <c r="H82" s="19"/>
      <c r="I82" s="34">
        <f>SUM(E82-'Standing data'!$D$11)*'Standing data'!$D$13</f>
        <v>3715.5120000000002</v>
      </c>
      <c r="J82" s="14">
        <f>INT(E82*'Standing data'!$B$5)</f>
        <v>4322</v>
      </c>
      <c r="K82" s="34">
        <f>INT(E82*'Standing data'!$B$22)</f>
        <v>180</v>
      </c>
      <c r="L82" s="13">
        <f t="shared" si="4"/>
        <v>44061.512000000002</v>
      </c>
      <c r="M82" s="15"/>
      <c r="N82" s="36"/>
      <c r="O82" s="36"/>
      <c r="P82" s="37"/>
    </row>
    <row r="83" spans="1:16" x14ac:dyDescent="0.25">
      <c r="A83" s="105">
        <v>28</v>
      </c>
      <c r="B83" s="120"/>
      <c r="C83" s="4"/>
      <c r="D83" s="1"/>
      <c r="E83" s="127">
        <v>34980</v>
      </c>
      <c r="F83" s="19"/>
      <c r="G83" s="93" t="s">
        <v>102</v>
      </c>
      <c r="H83" s="19"/>
      <c r="I83" s="34">
        <f>SUM(E83-'Standing data'!$D$11)*'Standing data'!$D$13</f>
        <v>3571.4400000000005</v>
      </c>
      <c r="J83" s="14">
        <f>INT(E83*'Standing data'!$B$5)</f>
        <v>4197</v>
      </c>
      <c r="K83" s="34">
        <f>INT(E83*'Standing data'!$B$22)</f>
        <v>174</v>
      </c>
      <c r="L83" s="13">
        <f t="shared" si="4"/>
        <v>42748.44</v>
      </c>
      <c r="M83" s="15"/>
      <c r="N83" s="36"/>
      <c r="O83" s="36"/>
      <c r="P83" s="37"/>
    </row>
    <row r="84" spans="1:16" x14ac:dyDescent="0.25">
      <c r="A84" s="105">
        <v>27</v>
      </c>
      <c r="B84" s="10"/>
      <c r="C84" s="4"/>
      <c r="D84" s="115"/>
      <c r="E84" s="127">
        <v>33966</v>
      </c>
      <c r="F84" s="19"/>
      <c r="G84" s="93" t="s">
        <v>102</v>
      </c>
      <c r="H84" s="19"/>
      <c r="I84" s="34">
        <f>SUM(E84-'Standing data'!$D$11)*'Standing data'!$D$13</f>
        <v>3431.5080000000003</v>
      </c>
      <c r="J84" s="14">
        <f>INT(E84*'Standing data'!$B$5)</f>
        <v>4075</v>
      </c>
      <c r="K84" s="34">
        <f>INT(E84*'Standing data'!$B$22)</f>
        <v>169</v>
      </c>
      <c r="L84" s="13">
        <f t="shared" si="4"/>
        <v>41472.508000000002</v>
      </c>
      <c r="M84" s="15"/>
      <c r="N84" s="36"/>
      <c r="O84" s="36"/>
      <c r="P84" s="37"/>
    </row>
    <row r="85" spans="1:16" x14ac:dyDescent="0.25">
      <c r="A85" s="105">
        <v>26</v>
      </c>
      <c r="B85" s="8"/>
      <c r="C85" s="4"/>
      <c r="D85" s="1"/>
      <c r="E85" s="127">
        <v>32982</v>
      </c>
      <c r="F85" s="19"/>
      <c r="G85" s="93" t="s">
        <v>102</v>
      </c>
      <c r="H85" s="19"/>
      <c r="I85" s="34">
        <f>SUM(E85-'Standing data'!$D$11)*'Standing data'!$D$13</f>
        <v>3295.7160000000003</v>
      </c>
      <c r="J85" s="14">
        <f>INT(E85*'Standing data'!$B$5)</f>
        <v>3957</v>
      </c>
      <c r="K85" s="34">
        <f>INT(E85*'Standing data'!$B$22)</f>
        <v>164</v>
      </c>
      <c r="L85" s="13">
        <f t="shared" si="4"/>
        <v>40234.716</v>
      </c>
      <c r="M85" s="15"/>
      <c r="N85" s="36"/>
      <c r="O85" s="36"/>
      <c r="P85" s="37"/>
    </row>
    <row r="86" spans="1:16" x14ac:dyDescent="0.25">
      <c r="A86" s="105">
        <v>25</v>
      </c>
      <c r="B86" s="9" t="s">
        <v>5</v>
      </c>
      <c r="C86" s="4"/>
      <c r="D86" s="1"/>
      <c r="E86" s="127">
        <v>32332</v>
      </c>
      <c r="F86" s="21"/>
      <c r="G86" s="93" t="s">
        <v>102</v>
      </c>
      <c r="H86" s="21"/>
      <c r="I86" s="34">
        <f>SUM(E86-'Standing data'!$D$11)*'Standing data'!$D$13</f>
        <v>3206.0160000000001</v>
      </c>
      <c r="J86" s="14">
        <f>INT(E86*'Standing data'!$B$5)</f>
        <v>3879</v>
      </c>
      <c r="K86" s="34">
        <f>INT(E86*'Standing data'!$B$22)</f>
        <v>161</v>
      </c>
      <c r="L86" s="13">
        <f t="shared" si="4"/>
        <v>39417.016000000003</v>
      </c>
      <c r="M86" s="15"/>
      <c r="N86" s="36"/>
      <c r="O86" s="36"/>
      <c r="P86" s="37"/>
    </row>
  </sheetData>
  <mergeCells count="6">
    <mergeCell ref="G78:L78"/>
    <mergeCell ref="A5:Q5"/>
    <mergeCell ref="A74:P74"/>
    <mergeCell ref="A73:Q73"/>
    <mergeCell ref="G7:L7"/>
    <mergeCell ref="N7:P7"/>
  </mergeCells>
  <phoneticPr fontId="9" type="noConversion"/>
  <pageMargins left="0.19685039370078741" right="0.19685039370078741" top="0.19685039370078741" bottom="0.19685039370078741" header="0.51181102362204722" footer="0.51181102362204722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9"/>
  <sheetViews>
    <sheetView workbookViewId="0">
      <selection activeCell="H11" sqref="H11"/>
    </sheetView>
  </sheetViews>
  <sheetFormatPr defaultColWidth="9.1796875" defaultRowHeight="12.5" x14ac:dyDescent="0.25"/>
  <cols>
    <col min="1" max="1" width="32.54296875" style="3" customWidth="1"/>
    <col min="2" max="2" width="11.1796875" style="3" customWidth="1"/>
    <col min="3" max="16384" width="9.1796875" style="3"/>
  </cols>
  <sheetData>
    <row r="1" spans="1:4" ht="13" x14ac:dyDescent="0.3">
      <c r="A1" s="12" t="s">
        <v>8</v>
      </c>
      <c r="B1" s="27">
        <v>44866</v>
      </c>
      <c r="C1" s="25"/>
    </row>
    <row r="2" spans="1:4" ht="13" x14ac:dyDescent="0.3">
      <c r="A2" s="12" t="s">
        <v>9</v>
      </c>
      <c r="B2" s="41">
        <v>45388</v>
      </c>
    </row>
    <row r="3" spans="1:4" ht="13" x14ac:dyDescent="0.3">
      <c r="A3" s="12"/>
    </row>
    <row r="4" spans="1:4" ht="13" x14ac:dyDescent="0.3">
      <c r="A4" s="12" t="s">
        <v>20</v>
      </c>
      <c r="B4" s="40">
        <v>0.14499999999999999</v>
      </c>
      <c r="C4" s="44" t="s">
        <v>121</v>
      </c>
    </row>
    <row r="5" spans="1:4" ht="13" x14ac:dyDescent="0.3">
      <c r="A5" s="12" t="s">
        <v>101</v>
      </c>
      <c r="B5" s="40">
        <v>0.12</v>
      </c>
    </row>
    <row r="7" spans="1:4" ht="13" x14ac:dyDescent="0.3">
      <c r="A7" s="12" t="s">
        <v>95</v>
      </c>
      <c r="B7" s="90">
        <v>19333</v>
      </c>
    </row>
    <row r="9" spans="1:4" ht="26" x14ac:dyDescent="0.3">
      <c r="A9" s="12" t="s">
        <v>117</v>
      </c>
      <c r="B9" s="42" t="s">
        <v>10</v>
      </c>
      <c r="C9" s="42" t="s">
        <v>32</v>
      </c>
      <c r="D9" s="42" t="s">
        <v>11</v>
      </c>
    </row>
    <row r="10" spans="1:4" x14ac:dyDescent="0.25">
      <c r="A10" s="3" t="s">
        <v>12</v>
      </c>
      <c r="B10" s="71">
        <v>123</v>
      </c>
      <c r="C10" s="71">
        <v>533</v>
      </c>
      <c r="D10" s="72">
        <v>6396</v>
      </c>
    </row>
    <row r="11" spans="1:4" x14ac:dyDescent="0.25">
      <c r="A11" s="3" t="s">
        <v>33</v>
      </c>
      <c r="B11" s="71">
        <v>175</v>
      </c>
      <c r="C11" s="71">
        <v>758</v>
      </c>
      <c r="D11" s="72">
        <v>9100</v>
      </c>
    </row>
    <row r="12" spans="1:4" x14ac:dyDescent="0.25">
      <c r="A12" s="3" t="s">
        <v>13</v>
      </c>
      <c r="B12" s="71">
        <v>967</v>
      </c>
      <c r="C12" s="71">
        <v>4189</v>
      </c>
      <c r="D12" s="72">
        <v>50270</v>
      </c>
    </row>
    <row r="13" spans="1:4" x14ac:dyDescent="0.25">
      <c r="A13" s="3" t="s">
        <v>34</v>
      </c>
      <c r="D13" s="121">
        <v>0.13800000000000001</v>
      </c>
    </row>
    <row r="14" spans="1:4" x14ac:dyDescent="0.25">
      <c r="A14" s="44" t="s">
        <v>72</v>
      </c>
      <c r="B14" s="70" t="s">
        <v>73</v>
      </c>
    </row>
    <row r="15" spans="1:4" x14ac:dyDescent="0.25">
      <c r="A15" s="44" t="s">
        <v>74</v>
      </c>
      <c r="B15" s="70" t="s">
        <v>37</v>
      </c>
    </row>
    <row r="17" spans="1:2" ht="13" x14ac:dyDescent="0.3">
      <c r="A17" s="6" t="s">
        <v>97</v>
      </c>
    </row>
    <row r="19" spans="1:2" x14ac:dyDescent="0.25">
      <c r="A19" s="3" t="s">
        <v>35</v>
      </c>
      <c r="B19" s="44" t="s">
        <v>116</v>
      </c>
    </row>
    <row r="22" spans="1:2" ht="13" x14ac:dyDescent="0.3">
      <c r="A22" s="12" t="s">
        <v>105</v>
      </c>
      <c r="B22" s="96">
        <v>5.0000000000000001E-3</v>
      </c>
    </row>
    <row r="27" spans="1:2" x14ac:dyDescent="0.25">
      <c r="B27" s="26"/>
    </row>
    <row r="28" spans="1:2" x14ac:dyDescent="0.25">
      <c r="B28" s="26"/>
    </row>
    <row r="29" spans="1:2" x14ac:dyDescent="0.25">
      <c r="B29" s="31"/>
    </row>
  </sheetData>
  <phoneticPr fontId="0" type="noConversion"/>
  <hyperlinks>
    <hyperlink ref="B14" r:id="rId1" xr:uid="{00000000-0004-0000-0100-000000000000}"/>
  </hyperlinks>
  <printOptions headings="1"/>
  <pageMargins left="0.74803149606299213" right="0.74803149606299213" top="0.98425196850393704" bottom="0.98425196850393704" header="0.51181102362204722" footer="0.51181102362204722"/>
  <pageSetup paperSize="9" scale="75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P66"/>
  <sheetViews>
    <sheetView showGridLines="0" workbookViewId="0">
      <selection activeCell="AL36" sqref="AL36"/>
    </sheetView>
  </sheetViews>
  <sheetFormatPr defaultColWidth="3.7265625" defaultRowHeight="12.5" x14ac:dyDescent="0.25"/>
  <cols>
    <col min="1" max="1" width="2" customWidth="1"/>
    <col min="2" max="2" width="1.81640625" customWidth="1"/>
    <col min="21" max="21" width="6" bestFit="1" customWidth="1"/>
    <col min="22" max="22" width="3.26953125" customWidth="1"/>
    <col min="30" max="30" width="2.1796875" customWidth="1"/>
    <col min="33" max="33" width="5.81640625" bestFit="1" customWidth="1"/>
    <col min="47" max="47" width="4.453125" customWidth="1"/>
    <col min="49" max="113" width="0" style="62" hidden="1" customWidth="1"/>
    <col min="114" max="16384" width="3.7265625" style="62"/>
  </cols>
  <sheetData>
    <row r="1" spans="3:68" x14ac:dyDescent="0.25">
      <c r="AW1" s="75" t="s">
        <v>80</v>
      </c>
      <c r="AX1" s="74"/>
      <c r="AY1" s="74"/>
      <c r="AZ1" s="74"/>
      <c r="BA1" s="74"/>
      <c r="BB1" s="74"/>
      <c r="BC1" s="74"/>
      <c r="BD1" s="74"/>
      <c r="BE1" s="74"/>
      <c r="BF1" s="74" t="s">
        <v>27</v>
      </c>
      <c r="BG1" s="74"/>
      <c r="BH1" s="74"/>
      <c r="BI1" s="74"/>
      <c r="BJ1" s="74"/>
      <c r="BK1" s="74"/>
      <c r="BL1" s="74"/>
      <c r="BM1" s="74"/>
      <c r="BN1" s="74"/>
      <c r="BO1" s="74"/>
      <c r="BP1" s="74"/>
    </row>
    <row r="2" spans="3:68" x14ac:dyDescent="0.25">
      <c r="AW2" s="74"/>
      <c r="AX2" s="74"/>
      <c r="AY2" s="74"/>
      <c r="AZ2" s="74"/>
      <c r="BA2" s="74"/>
      <c r="BB2" s="74"/>
      <c r="BC2" s="74"/>
      <c r="BD2" s="74"/>
      <c r="BE2" s="74"/>
      <c r="BF2" s="74" t="s">
        <v>22</v>
      </c>
      <c r="BG2" s="74"/>
      <c r="BH2" s="74"/>
      <c r="BI2" s="74"/>
      <c r="BJ2" s="74"/>
      <c r="BK2" s="74"/>
      <c r="BL2" s="74"/>
      <c r="BM2" s="74"/>
      <c r="BN2" s="74"/>
      <c r="BO2" s="74"/>
      <c r="BP2" s="74"/>
    </row>
    <row r="3" spans="3:68" ht="15" customHeight="1" x14ac:dyDescent="0.3">
      <c r="N3" s="73" t="s">
        <v>78</v>
      </c>
      <c r="AW3" s="74"/>
      <c r="AX3" s="74"/>
      <c r="AY3" s="74"/>
      <c r="AZ3" s="74"/>
      <c r="BA3" s="74"/>
      <c r="BB3" s="74"/>
      <c r="BC3" s="74"/>
      <c r="BD3" s="74"/>
      <c r="BE3" s="74"/>
      <c r="BF3" s="74" t="s">
        <v>21</v>
      </c>
      <c r="BG3" s="74"/>
      <c r="BH3" s="74"/>
      <c r="BI3" s="74"/>
      <c r="BJ3" s="74"/>
      <c r="BK3" s="74"/>
      <c r="BL3" s="74"/>
      <c r="BM3" s="74"/>
      <c r="BN3" s="74"/>
      <c r="BO3" s="74"/>
      <c r="BP3" s="74"/>
    </row>
    <row r="4" spans="3:68" ht="12.75" customHeight="1" x14ac:dyDescent="0.3">
      <c r="N4" s="69" t="s">
        <v>71</v>
      </c>
      <c r="AF4" s="76" t="s">
        <v>36</v>
      </c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5"/>
      <c r="AW4" s="74"/>
      <c r="AX4" s="74"/>
      <c r="AY4" s="74"/>
      <c r="AZ4" s="74"/>
      <c r="BA4" s="74"/>
      <c r="BB4" s="74"/>
      <c r="BC4" s="74"/>
      <c r="BD4" s="74"/>
      <c r="BE4" s="74"/>
      <c r="BF4" s="74" t="s">
        <v>79</v>
      </c>
      <c r="BG4" s="74"/>
      <c r="BH4" s="74"/>
      <c r="BI4" s="74"/>
      <c r="BJ4" s="74"/>
      <c r="BK4" s="74"/>
      <c r="BL4" s="74"/>
      <c r="BM4" s="74"/>
      <c r="BN4" s="74"/>
      <c r="BO4" s="74"/>
      <c r="BP4" s="74"/>
    </row>
    <row r="5" spans="3:68" x14ac:dyDescent="0.25">
      <c r="AF5" s="77" t="s">
        <v>85</v>
      </c>
      <c r="AG5" s="78"/>
      <c r="AH5" s="78"/>
      <c r="AI5" s="78"/>
      <c r="AJ5" s="78"/>
      <c r="AK5" s="78"/>
      <c r="AL5" s="78"/>
      <c r="AM5" s="78"/>
      <c r="AN5" s="78"/>
      <c r="AU5" s="56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</row>
    <row r="6" spans="3:68" x14ac:dyDescent="0.25">
      <c r="N6" s="44" t="s">
        <v>77</v>
      </c>
      <c r="AF6" s="79" t="s">
        <v>81</v>
      </c>
      <c r="AG6" s="78"/>
      <c r="AH6" s="78"/>
      <c r="AI6" s="78"/>
      <c r="AJ6" s="78"/>
      <c r="AK6" s="78"/>
      <c r="AL6" s="78"/>
      <c r="AM6" s="78"/>
      <c r="AN6" s="78"/>
      <c r="AU6" s="56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</row>
    <row r="7" spans="3:68" ht="12.75" customHeight="1" x14ac:dyDescent="0.25">
      <c r="N7" s="44" t="s">
        <v>76</v>
      </c>
      <c r="AF7" s="80" t="s">
        <v>82</v>
      </c>
      <c r="AG7" s="78"/>
      <c r="AH7" s="78"/>
      <c r="AI7" s="78"/>
      <c r="AJ7" s="78"/>
      <c r="AK7" s="78"/>
      <c r="AL7" s="78"/>
      <c r="AM7" s="78"/>
      <c r="AN7" s="78"/>
      <c r="AU7" s="56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</row>
    <row r="8" spans="3:68" ht="12.75" customHeight="1" x14ac:dyDescent="0.25">
      <c r="AF8" s="81" t="s">
        <v>83</v>
      </c>
      <c r="AG8" s="78"/>
      <c r="AH8" s="78"/>
      <c r="AI8" s="78"/>
      <c r="AJ8" s="78"/>
      <c r="AK8" s="78"/>
      <c r="AL8" s="78"/>
      <c r="AM8" s="78"/>
      <c r="AN8" s="78"/>
      <c r="AU8" s="56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</row>
    <row r="9" spans="3:68" ht="12.75" customHeight="1" x14ac:dyDescent="0.3">
      <c r="C9" s="12"/>
      <c r="O9" s="12" t="s">
        <v>40</v>
      </c>
      <c r="P9" s="12"/>
      <c r="Q9" s="12"/>
      <c r="R9" s="12"/>
      <c r="S9" s="12"/>
      <c r="T9" s="12"/>
      <c r="U9" s="12"/>
      <c r="V9" s="12"/>
      <c r="W9" s="12" t="s">
        <v>41</v>
      </c>
      <c r="X9" s="12"/>
      <c r="Y9" s="12"/>
      <c r="Z9" s="12"/>
      <c r="AA9" s="12"/>
      <c r="AF9" s="66" t="s">
        <v>84</v>
      </c>
      <c r="AG9" s="78"/>
      <c r="AH9" s="78"/>
      <c r="AI9" s="78"/>
      <c r="AJ9" s="78"/>
      <c r="AK9" s="78"/>
      <c r="AL9" s="78"/>
      <c r="AM9" s="78"/>
      <c r="AN9" s="78"/>
      <c r="AU9" s="56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</row>
    <row r="10" spans="3:68" x14ac:dyDescent="0.25">
      <c r="C10" s="44" t="s">
        <v>42</v>
      </c>
      <c r="R10" s="197"/>
      <c r="S10" s="198"/>
      <c r="T10" s="198"/>
      <c r="U10" s="199"/>
      <c r="Z10" s="197"/>
      <c r="AA10" s="198"/>
      <c r="AB10" s="198"/>
      <c r="AC10" s="199"/>
      <c r="AF10" s="77" t="s">
        <v>86</v>
      </c>
      <c r="AG10" s="78"/>
      <c r="AH10" s="78"/>
      <c r="AI10" s="78"/>
      <c r="AJ10" s="78"/>
      <c r="AK10" s="78"/>
      <c r="AL10" s="78"/>
      <c r="AM10" s="78"/>
      <c r="AN10" s="78"/>
      <c r="AU10" s="56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</row>
    <row r="11" spans="3:68" x14ac:dyDescent="0.25">
      <c r="C11" s="44" t="s">
        <v>43</v>
      </c>
      <c r="R11" s="182" t="s">
        <v>21</v>
      </c>
      <c r="S11" s="183"/>
      <c r="T11" s="183"/>
      <c r="U11" s="184"/>
      <c r="Z11" s="182" t="s">
        <v>21</v>
      </c>
      <c r="AA11" s="183"/>
      <c r="AB11" s="183"/>
      <c r="AC11" s="184"/>
      <c r="AF11" s="66" t="s">
        <v>87</v>
      </c>
      <c r="AU11" s="56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</row>
    <row r="12" spans="3:68" ht="13" x14ac:dyDescent="0.3">
      <c r="C12" s="44" t="s">
        <v>92</v>
      </c>
      <c r="G12" s="44" t="s">
        <v>44</v>
      </c>
      <c r="O12" s="200"/>
      <c r="P12" s="201"/>
      <c r="Q12" s="202"/>
      <c r="W12" s="200"/>
      <c r="X12" s="201"/>
      <c r="Y12" s="202"/>
      <c r="AF12" s="77" t="s">
        <v>88</v>
      </c>
      <c r="AU12" s="56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</row>
    <row r="13" spans="3:68" x14ac:dyDescent="0.25">
      <c r="G13" s="44" t="s">
        <v>45</v>
      </c>
      <c r="O13" s="182"/>
      <c r="P13" s="183"/>
      <c r="Q13" s="184"/>
      <c r="W13" s="182"/>
      <c r="X13" s="183"/>
      <c r="Y13" s="184"/>
      <c r="AF13" s="66" t="s">
        <v>89</v>
      </c>
      <c r="AU13" s="56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</row>
    <row r="14" spans="3:68" x14ac:dyDescent="0.25">
      <c r="G14" t="s">
        <v>46</v>
      </c>
      <c r="O14" s="185">
        <f>IF(R10&lt;Table!E54, 16.59, 17.65)</f>
        <v>16.59</v>
      </c>
      <c r="P14" s="186"/>
      <c r="Q14" s="187"/>
      <c r="W14" s="185">
        <f>IF(Z10&lt;Table!E54, 16.59, 17.65)</f>
        <v>16.59</v>
      </c>
      <c r="X14" s="186"/>
      <c r="Y14" s="187"/>
      <c r="AF14" s="77" t="s">
        <v>90</v>
      </c>
      <c r="AU14" s="56"/>
    </row>
    <row r="15" spans="3:68" ht="13" x14ac:dyDescent="0.3">
      <c r="C15" s="44" t="s">
        <v>93</v>
      </c>
      <c r="R15" s="188"/>
      <c r="S15" s="189"/>
      <c r="T15" s="189"/>
      <c r="U15" s="190"/>
      <c r="Z15" s="188"/>
      <c r="AA15" s="189"/>
      <c r="AB15" s="189"/>
      <c r="AC15" s="190"/>
      <c r="AF15" s="67" t="s">
        <v>91</v>
      </c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9"/>
    </row>
    <row r="16" spans="3:68" s="87" customFormat="1" ht="13" hidden="1" x14ac:dyDescent="0.3">
      <c r="C16" s="88" t="s">
        <v>94</v>
      </c>
      <c r="O16" s="195">
        <f>((O12/36.5)*(O13/52)*(1+(O14/100)))</f>
        <v>0</v>
      </c>
      <c r="P16" s="195"/>
      <c r="Q16" s="195"/>
      <c r="R16" s="194">
        <f>(R15*52)/1898</f>
        <v>0</v>
      </c>
      <c r="S16" s="194"/>
      <c r="T16" s="194"/>
      <c r="U16" s="194"/>
      <c r="V16" s="89"/>
      <c r="W16" s="195">
        <f>((W12/36.5)*(W13/52)*(1+(W14/100)))</f>
        <v>0</v>
      </c>
      <c r="X16" s="195"/>
      <c r="Y16" s="195"/>
      <c r="Z16" s="191">
        <f>(Z15*52)/1898</f>
        <v>0</v>
      </c>
      <c r="AA16" s="192"/>
      <c r="AB16" s="192"/>
      <c r="AC16" s="193"/>
    </row>
    <row r="17" spans="2:55" x14ac:dyDescent="0.25">
      <c r="C17" t="s">
        <v>23</v>
      </c>
      <c r="O17" s="85"/>
      <c r="P17" s="85"/>
      <c r="Q17" s="85"/>
      <c r="R17" s="196">
        <f>IF(R15&gt;0,R16,O16)</f>
        <v>0</v>
      </c>
      <c r="S17" s="196"/>
      <c r="T17" s="196"/>
      <c r="U17" s="196"/>
      <c r="V17" s="86"/>
      <c r="W17" s="85"/>
      <c r="X17" s="85"/>
      <c r="Y17" s="85"/>
      <c r="Z17" s="196">
        <f>IF(Z15&gt;0,Z16,W16)</f>
        <v>0</v>
      </c>
      <c r="AA17" s="196"/>
      <c r="AB17" s="196"/>
      <c r="AC17" s="196"/>
    </row>
    <row r="18" spans="2:55" x14ac:dyDescent="0.25">
      <c r="C18" t="s">
        <v>47</v>
      </c>
      <c r="R18" s="179">
        <f>R10*R17</f>
        <v>0</v>
      </c>
      <c r="S18" s="180"/>
      <c r="T18" s="180"/>
      <c r="U18" s="181"/>
      <c r="Z18" s="179">
        <f>Z10*Z17</f>
        <v>0</v>
      </c>
      <c r="AA18" s="180"/>
      <c r="AB18" s="180"/>
      <c r="AC18" s="181"/>
    </row>
    <row r="19" spans="2:55" x14ac:dyDescent="0.25">
      <c r="C19" s="44" t="s">
        <v>68</v>
      </c>
      <c r="R19" s="175"/>
      <c r="S19" s="175"/>
      <c r="T19" s="175"/>
      <c r="U19" s="175"/>
      <c r="Z19" s="176"/>
      <c r="AA19" s="177"/>
      <c r="AB19" s="177"/>
      <c r="AC19" s="178"/>
    </row>
    <row r="20" spans="2:55" ht="13" x14ac:dyDescent="0.3">
      <c r="C20" s="44" t="s">
        <v>69</v>
      </c>
      <c r="R20" s="144">
        <f>R18+R19</f>
        <v>0</v>
      </c>
      <c r="S20" s="144"/>
      <c r="T20" s="144"/>
      <c r="U20" s="144"/>
      <c r="Z20" s="144">
        <f>(Z18+Z19)</f>
        <v>0</v>
      </c>
      <c r="AA20" s="144"/>
      <c r="AB20" s="144"/>
      <c r="AC20" s="144"/>
    </row>
    <row r="21" spans="2:55" s="82" customFormat="1" ht="25.5" hidden="1" customHeight="1" x14ac:dyDescent="0.3"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83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</row>
    <row r="22" spans="2:55" s="82" customFormat="1" ht="12" hidden="1" customHeight="1" x14ac:dyDescent="0.25">
      <c r="B22" s="158" t="s">
        <v>75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43">
        <f>R20</f>
        <v>0</v>
      </c>
      <c r="S22" s="143"/>
      <c r="T22" s="143"/>
      <c r="U22" s="143"/>
      <c r="Z22" s="143">
        <f>Z20</f>
        <v>0</v>
      </c>
      <c r="AA22" s="143"/>
      <c r="AB22" s="143"/>
      <c r="AC22" s="143"/>
    </row>
    <row r="23" spans="2:55" s="82" customFormat="1" ht="12" hidden="1" customHeight="1" x14ac:dyDescent="0.25">
      <c r="B23" s="158" t="s">
        <v>98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43">
        <f>'Standing data'!D11</f>
        <v>9100</v>
      </c>
      <c r="S23" s="143"/>
      <c r="T23" s="143"/>
      <c r="U23" s="143"/>
      <c r="Z23" s="143">
        <f>'Standing data'!D11</f>
        <v>9100</v>
      </c>
      <c r="AA23" s="143"/>
      <c r="AB23" s="143"/>
      <c r="AC23" s="14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</row>
    <row r="24" spans="2:55" s="82" customFormat="1" ht="12" hidden="1" customHeight="1" x14ac:dyDescent="0.25"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43"/>
      <c r="S24" s="143"/>
      <c r="T24" s="143"/>
      <c r="U24" s="143"/>
      <c r="Z24" s="143"/>
      <c r="AA24" s="143"/>
      <c r="AB24" s="143"/>
      <c r="AC24" s="14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</row>
    <row r="25" spans="2:55" s="82" customFormat="1" ht="12" hidden="1" customHeight="1" x14ac:dyDescent="0.25">
      <c r="B25" s="158" t="s">
        <v>99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43">
        <f>R22-R23</f>
        <v>-9100</v>
      </c>
      <c r="S25" s="143"/>
      <c r="T25" s="143"/>
      <c r="U25" s="143"/>
      <c r="Z25" s="143">
        <f>SUM(Z22-Z23)</f>
        <v>-9100</v>
      </c>
      <c r="AA25" s="143"/>
      <c r="AB25" s="143"/>
      <c r="AC25" s="14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</row>
    <row r="26" spans="2:55" s="82" customFormat="1" ht="12" hidden="1" customHeight="1" x14ac:dyDescent="0.25"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43"/>
      <c r="S26" s="143"/>
      <c r="T26" s="143"/>
      <c r="U26" s="143"/>
      <c r="Z26" s="143"/>
      <c r="AA26" s="143"/>
      <c r="AB26" s="143"/>
      <c r="AC26" s="14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</row>
    <row r="27" spans="2:55" s="82" customFormat="1" ht="23.25" hidden="1" customHeight="1" x14ac:dyDescent="0.25">
      <c r="B27" s="158" t="s">
        <v>100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47">
        <f>SUM(R25*'Standing data'!D13)</f>
        <v>-1255.8000000000002</v>
      </c>
      <c r="S27" s="148"/>
      <c r="T27" s="148"/>
      <c r="U27" s="149"/>
      <c r="Z27" s="147">
        <f>SUM(Z25*'Standing data'!D13)</f>
        <v>-1255.8000000000002</v>
      </c>
      <c r="AA27" s="148"/>
      <c r="AB27" s="148"/>
      <c r="AC27" s="149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</row>
    <row r="28" spans="2:55" ht="12" customHeight="1" x14ac:dyDescent="0.3">
      <c r="C28" t="s">
        <v>25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145">
        <f>IF(R27&lt;0, 0, R27)</f>
        <v>0</v>
      </c>
      <c r="S28" s="145"/>
      <c r="T28" s="145"/>
      <c r="U28" s="145"/>
      <c r="V28" s="61"/>
      <c r="W28" s="61"/>
      <c r="X28" s="61"/>
      <c r="Y28" s="61"/>
      <c r="Z28" s="145">
        <f>IF(Z27&lt;0, 0, Z27)</f>
        <v>0</v>
      </c>
      <c r="AA28" s="145"/>
      <c r="AB28" s="145"/>
      <c r="AC28" s="145"/>
      <c r="AD28" s="61"/>
    </row>
    <row r="29" spans="2:55" ht="12" customHeight="1" x14ac:dyDescent="0.3">
      <c r="C29" t="s">
        <v>26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146">
        <f>IF(R11="ERBS",0.12,IF(R11="USS",0.145,0))</f>
        <v>0.14499999999999999</v>
      </c>
      <c r="P29" s="139"/>
      <c r="Q29" s="61"/>
      <c r="R29" s="140">
        <f>(R20*O29)</f>
        <v>0</v>
      </c>
      <c r="S29" s="141"/>
      <c r="T29" s="141"/>
      <c r="U29" s="142"/>
      <c r="V29" s="61"/>
      <c r="W29" s="146">
        <f>IF(Z11="ERBS",0.12,IF(Z11="USS",0.145,0))</f>
        <v>0.14499999999999999</v>
      </c>
      <c r="X29" s="139"/>
      <c r="Y29" s="61"/>
      <c r="Z29" s="140">
        <f>(Z20*W29)</f>
        <v>0</v>
      </c>
      <c r="AA29" s="141"/>
      <c r="AB29" s="141"/>
      <c r="AC29" s="142"/>
      <c r="AD29" s="61"/>
    </row>
    <row r="30" spans="2:55" ht="12" customHeight="1" thickBot="1" x14ac:dyDescent="0.35">
      <c r="C30" t="s">
        <v>105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138">
        <v>5.0000000000000001E-3</v>
      </c>
      <c r="P30" s="139"/>
      <c r="Q30" s="61"/>
      <c r="R30" s="140">
        <f>(R20*O30)</f>
        <v>0</v>
      </c>
      <c r="S30" s="141"/>
      <c r="T30" s="141"/>
      <c r="U30" s="142"/>
      <c r="V30" s="61"/>
      <c r="W30" s="85"/>
      <c r="X30" s="85"/>
      <c r="Y30" s="61"/>
      <c r="Z30" s="140">
        <f>(Z20*O30)</f>
        <v>0</v>
      </c>
      <c r="AA30" s="141"/>
      <c r="AB30" s="141"/>
      <c r="AC30" s="142"/>
      <c r="AD30" s="61"/>
    </row>
    <row r="31" spans="2:55" ht="12" customHeight="1" thickBot="1" x14ac:dyDescent="0.35">
      <c r="C31" s="63" t="s">
        <v>24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153">
        <f>SUM(R20+R28+R29+R30)</f>
        <v>0</v>
      </c>
      <c r="S31" s="154"/>
      <c r="T31" s="154"/>
      <c r="U31" s="155"/>
      <c r="V31" s="61"/>
      <c r="W31" s="61"/>
      <c r="X31" s="61"/>
      <c r="Y31" s="61"/>
      <c r="Z31" s="153">
        <f>SUM(Z20+Z28+Z29+Z30)</f>
        <v>0</v>
      </c>
      <c r="AA31" s="154"/>
      <c r="AB31" s="154"/>
      <c r="AC31" s="155"/>
      <c r="AD31" s="61"/>
    </row>
    <row r="32" spans="2:55" ht="12" customHeight="1" x14ac:dyDescent="0.25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</row>
    <row r="33" spans="2:30" ht="13" thickBot="1" x14ac:dyDescent="0.3"/>
    <row r="34" spans="2:30" ht="13" thickBot="1" x14ac:dyDescent="0.3"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7"/>
    </row>
    <row r="35" spans="2:30" ht="13.5" thickBot="1" x14ac:dyDescent="0.35">
      <c r="B35" s="48"/>
      <c r="C35" s="12" t="s">
        <v>70</v>
      </c>
      <c r="O35" s="12" t="str">
        <f>IF(Z31&gt;R31,"Increase in costs", "Saving in costs")</f>
        <v>Saving in costs</v>
      </c>
      <c r="Z35" s="169">
        <f>Z31-R31</f>
        <v>0</v>
      </c>
      <c r="AA35" s="170"/>
      <c r="AB35" s="170"/>
      <c r="AC35" s="171"/>
      <c r="AD35" s="49"/>
    </row>
    <row r="36" spans="2:30" ht="13" thickBot="1" x14ac:dyDescent="0.3"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2"/>
    </row>
    <row r="38" spans="2:30" ht="12" customHeight="1" x14ac:dyDescent="0.25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</row>
    <row r="39" spans="2:30" x14ac:dyDescent="0.25">
      <c r="C39" s="18" t="s">
        <v>48</v>
      </c>
      <c r="D39" s="18"/>
      <c r="E39" s="18"/>
      <c r="F39" s="18"/>
      <c r="G39" s="18"/>
      <c r="H39" s="18"/>
      <c r="I39" s="18"/>
      <c r="J39" s="18"/>
    </row>
    <row r="41" spans="2:30" ht="13" x14ac:dyDescent="0.3">
      <c r="B41" s="64"/>
      <c r="C41" s="65" t="s">
        <v>49</v>
      </c>
      <c r="D41" s="53"/>
      <c r="E41" s="53"/>
      <c r="F41" s="53"/>
      <c r="G41" s="54" t="s">
        <v>50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5"/>
    </row>
    <row r="42" spans="2:30" x14ac:dyDescent="0.25">
      <c r="B42" s="66"/>
      <c r="C42" s="44" t="s">
        <v>51</v>
      </c>
      <c r="G42" s="44" t="s">
        <v>52</v>
      </c>
      <c r="AD42" s="56"/>
    </row>
    <row r="43" spans="2:30" x14ac:dyDescent="0.25">
      <c r="B43" s="66"/>
      <c r="C43" s="44" t="s">
        <v>96</v>
      </c>
      <c r="F43" s="44"/>
      <c r="H43" s="172">
        <f>'Standing data'!B7</f>
        <v>19333</v>
      </c>
      <c r="I43" s="173"/>
      <c r="J43" s="173"/>
      <c r="K43" s="174"/>
      <c r="L43" s="44" t="s">
        <v>53</v>
      </c>
      <c r="AD43" s="56"/>
    </row>
    <row r="44" spans="2:30" x14ac:dyDescent="0.25">
      <c r="B44" s="66"/>
      <c r="C44" s="44" t="s">
        <v>54</v>
      </c>
      <c r="F44" s="44"/>
      <c r="H44" s="166">
        <f>H43/100*11</f>
        <v>2126.63</v>
      </c>
      <c r="I44" s="167"/>
      <c r="J44" s="167"/>
      <c r="K44" s="168"/>
      <c r="L44" s="44" t="s">
        <v>53</v>
      </c>
      <c r="AD44" s="56"/>
    </row>
    <row r="45" spans="2:30" ht="13" x14ac:dyDescent="0.3">
      <c r="B45" s="66"/>
      <c r="O45" s="12" t="s">
        <v>40</v>
      </c>
      <c r="W45" s="12" t="s">
        <v>41</v>
      </c>
      <c r="AD45" s="56"/>
    </row>
    <row r="46" spans="2:30" x14ac:dyDescent="0.25">
      <c r="B46" s="66"/>
      <c r="C46" t="s">
        <v>55</v>
      </c>
      <c r="J46" s="44"/>
      <c r="R46" s="166">
        <f>((R15*52)/1898)*H44</f>
        <v>0</v>
      </c>
      <c r="S46" s="167"/>
      <c r="T46" s="167"/>
      <c r="U46" s="168"/>
      <c r="V46" s="44"/>
      <c r="Z46" s="166">
        <f>((Z15*52)/1898)*H44</f>
        <v>0</v>
      </c>
      <c r="AA46" s="167"/>
      <c r="AB46" s="167"/>
      <c r="AC46" s="168"/>
      <c r="AD46" s="57"/>
    </row>
    <row r="47" spans="2:30" x14ac:dyDescent="0.25">
      <c r="B47" s="67"/>
      <c r="C47" s="6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9"/>
    </row>
    <row r="49" spans="2:30" ht="13" x14ac:dyDescent="0.3">
      <c r="B49" s="64"/>
      <c r="C49" s="65" t="s">
        <v>49</v>
      </c>
      <c r="D49" s="53"/>
      <c r="E49" s="53"/>
      <c r="F49" s="53"/>
      <c r="G49" s="54" t="s">
        <v>56</v>
      </c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5"/>
    </row>
    <row r="50" spans="2:30" x14ac:dyDescent="0.25">
      <c r="B50" s="66"/>
      <c r="C50" s="44" t="s">
        <v>51</v>
      </c>
      <c r="G50" s="44" t="s">
        <v>57</v>
      </c>
      <c r="AD50" s="56"/>
    </row>
    <row r="51" spans="2:30" x14ac:dyDescent="0.25">
      <c r="B51" s="66"/>
      <c r="C51" s="44" t="s">
        <v>58</v>
      </c>
      <c r="G51" s="146">
        <v>0.12</v>
      </c>
      <c r="H51" s="162"/>
      <c r="I51" s="162"/>
      <c r="J51" s="162"/>
      <c r="K51" s="139"/>
      <c r="AD51" s="56"/>
    </row>
    <row r="52" spans="2:30" ht="13" x14ac:dyDescent="0.3">
      <c r="B52" s="66"/>
      <c r="C52" s="44"/>
      <c r="O52" s="12" t="s">
        <v>40</v>
      </c>
      <c r="W52" s="12" t="s">
        <v>41</v>
      </c>
      <c r="AD52" s="56"/>
    </row>
    <row r="53" spans="2:30" x14ac:dyDescent="0.25">
      <c r="B53" s="66"/>
      <c r="C53" s="44" t="s">
        <v>59</v>
      </c>
      <c r="O53" s="159"/>
      <c r="P53" s="160"/>
      <c r="Q53" s="161"/>
      <c r="R53" s="44" t="s">
        <v>60</v>
      </c>
      <c r="W53" s="159"/>
      <c r="X53" s="160"/>
      <c r="Y53" s="161"/>
      <c r="Z53" s="44" t="s">
        <v>60</v>
      </c>
      <c r="AD53" s="56"/>
    </row>
    <row r="54" spans="2:30" x14ac:dyDescent="0.25">
      <c r="B54" s="66"/>
      <c r="C54" s="44" t="s">
        <v>61</v>
      </c>
      <c r="O54" s="159">
        <v>52</v>
      </c>
      <c r="P54" s="160"/>
      <c r="Q54" s="161"/>
      <c r="R54" s="44" t="s">
        <v>62</v>
      </c>
      <c r="W54" s="159">
        <v>52</v>
      </c>
      <c r="X54" s="160"/>
      <c r="Y54" s="161"/>
      <c r="Z54" s="44" t="s">
        <v>62</v>
      </c>
      <c r="AD54" s="56"/>
    </row>
    <row r="55" spans="2:30" x14ac:dyDescent="0.25">
      <c r="B55" s="66"/>
      <c r="O55" s="146">
        <f>O53*O54</f>
        <v>0</v>
      </c>
      <c r="P55" s="162"/>
      <c r="Q55" s="139"/>
      <c r="R55" s="44" t="s">
        <v>63</v>
      </c>
      <c r="W55" s="146">
        <f>W53*W54</f>
        <v>0</v>
      </c>
      <c r="X55" s="162"/>
      <c r="Y55" s="139"/>
      <c r="Z55" s="44" t="s">
        <v>63</v>
      </c>
      <c r="AD55" s="56"/>
    </row>
    <row r="56" spans="2:30" x14ac:dyDescent="0.25">
      <c r="B56" s="66"/>
      <c r="C56" t="s">
        <v>64</v>
      </c>
      <c r="R56" s="163">
        <f>O55*G51</f>
        <v>0</v>
      </c>
      <c r="S56" s="164"/>
      <c r="T56" s="164"/>
      <c r="U56" s="165"/>
      <c r="Z56" s="163">
        <f>W55*G51</f>
        <v>0</v>
      </c>
      <c r="AA56" s="164"/>
      <c r="AB56" s="164"/>
      <c r="AC56" s="165"/>
      <c r="AD56" s="56"/>
    </row>
    <row r="57" spans="2:30" x14ac:dyDescent="0.25">
      <c r="B57" s="6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9"/>
    </row>
    <row r="59" spans="2:30" ht="13" x14ac:dyDescent="0.3">
      <c r="B59" s="64"/>
      <c r="C59" s="65" t="s">
        <v>49</v>
      </c>
      <c r="D59" s="53"/>
      <c r="E59" s="53"/>
      <c r="F59" s="53"/>
      <c r="G59" s="54" t="s">
        <v>65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5"/>
    </row>
    <row r="60" spans="2:30" x14ac:dyDescent="0.25">
      <c r="B60" s="66"/>
      <c r="C60" s="44" t="s">
        <v>51</v>
      </c>
      <c r="G60" s="44" t="s">
        <v>66</v>
      </c>
      <c r="AD60" s="56"/>
    </row>
    <row r="61" spans="2:30" ht="13" x14ac:dyDescent="0.3">
      <c r="B61" s="66"/>
      <c r="O61" s="12" t="s">
        <v>40</v>
      </c>
      <c r="W61" s="12" t="s">
        <v>41</v>
      </c>
      <c r="AD61" s="56"/>
    </row>
    <row r="62" spans="2:30" x14ac:dyDescent="0.25">
      <c r="B62" s="66"/>
      <c r="C62" s="44" t="s">
        <v>67</v>
      </c>
      <c r="O62" s="159"/>
      <c r="P62" s="160"/>
      <c r="Q62" s="161"/>
      <c r="R62" s="44" t="s">
        <v>60</v>
      </c>
      <c r="W62" s="159"/>
      <c r="X62" s="160"/>
      <c r="Y62" s="161"/>
      <c r="Z62" s="44" t="s">
        <v>60</v>
      </c>
      <c r="AD62" s="56"/>
    </row>
    <row r="63" spans="2:30" x14ac:dyDescent="0.25">
      <c r="B63" s="66"/>
      <c r="O63" s="159">
        <v>52</v>
      </c>
      <c r="P63" s="160"/>
      <c r="Q63" s="161"/>
      <c r="R63" s="44" t="s">
        <v>62</v>
      </c>
      <c r="W63" s="159">
        <v>52</v>
      </c>
      <c r="X63" s="160"/>
      <c r="Y63" s="161"/>
      <c r="Z63" s="44" t="s">
        <v>62</v>
      </c>
      <c r="AD63" s="56"/>
    </row>
    <row r="64" spans="2:30" x14ac:dyDescent="0.25">
      <c r="B64" s="66"/>
      <c r="C64" s="44"/>
      <c r="O64" s="146">
        <f>O62*O63</f>
        <v>0</v>
      </c>
      <c r="P64" s="162"/>
      <c r="Q64" s="139"/>
      <c r="R64" s="44" t="s">
        <v>63</v>
      </c>
      <c r="W64" s="146">
        <f>W62*W63</f>
        <v>0</v>
      </c>
      <c r="X64" s="162"/>
      <c r="Y64" s="139"/>
      <c r="Z64" s="44" t="s">
        <v>63</v>
      </c>
      <c r="AD64" s="56"/>
    </row>
    <row r="65" spans="2:30" x14ac:dyDescent="0.25">
      <c r="B65" s="66"/>
      <c r="C65" s="44" t="s">
        <v>64</v>
      </c>
      <c r="J65" s="60"/>
      <c r="O65" s="44"/>
      <c r="R65" s="150">
        <f>(((R10/52)/36.5)/3)*O64</f>
        <v>0</v>
      </c>
      <c r="S65" s="151"/>
      <c r="T65" s="151"/>
      <c r="U65" s="152"/>
      <c r="W65" s="44"/>
      <c r="Z65" s="150">
        <f>(((Z10/52)/36.5)/3)*W64</f>
        <v>0</v>
      </c>
      <c r="AA65" s="151"/>
      <c r="AB65" s="151"/>
      <c r="AC65" s="152"/>
      <c r="AD65" s="56"/>
    </row>
    <row r="66" spans="2:30" x14ac:dyDescent="0.25">
      <c r="B66" s="6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9"/>
    </row>
  </sheetData>
  <mergeCells count="78">
    <mergeCell ref="R10:U10"/>
    <mergeCell ref="Z10:AC10"/>
    <mergeCell ref="R11:U11"/>
    <mergeCell ref="Z11:AC11"/>
    <mergeCell ref="O12:Q12"/>
    <mergeCell ref="W12:Y12"/>
    <mergeCell ref="R19:U19"/>
    <mergeCell ref="Z19:AC19"/>
    <mergeCell ref="R18:U18"/>
    <mergeCell ref="Z18:AC18"/>
    <mergeCell ref="O13:Q13"/>
    <mergeCell ref="W13:Y13"/>
    <mergeCell ref="O14:Q14"/>
    <mergeCell ref="W14:Y14"/>
    <mergeCell ref="R15:U15"/>
    <mergeCell ref="Z15:AC15"/>
    <mergeCell ref="Z16:AC16"/>
    <mergeCell ref="R16:U16"/>
    <mergeCell ref="O16:Q16"/>
    <mergeCell ref="W16:Y16"/>
    <mergeCell ref="R17:U17"/>
    <mergeCell ref="Z17:AC17"/>
    <mergeCell ref="Z35:AC35"/>
    <mergeCell ref="H43:K43"/>
    <mergeCell ref="B23:Q23"/>
    <mergeCell ref="B24:Q24"/>
    <mergeCell ref="B25:Q25"/>
    <mergeCell ref="R26:U26"/>
    <mergeCell ref="R27:U27"/>
    <mergeCell ref="B26:Q26"/>
    <mergeCell ref="B27:Q27"/>
    <mergeCell ref="O29:P29"/>
    <mergeCell ref="Z31:AC31"/>
    <mergeCell ref="Z24:AC24"/>
    <mergeCell ref="Z25:AC25"/>
    <mergeCell ref="Z26:AC26"/>
    <mergeCell ref="R23:U23"/>
    <mergeCell ref="R24:U24"/>
    <mergeCell ref="W55:Y55"/>
    <mergeCell ref="R56:U56"/>
    <mergeCell ref="Z56:AC56"/>
    <mergeCell ref="H44:K44"/>
    <mergeCell ref="R46:U46"/>
    <mergeCell ref="Z46:AC46"/>
    <mergeCell ref="G51:K51"/>
    <mergeCell ref="O53:Q53"/>
    <mergeCell ref="W53:Y53"/>
    <mergeCell ref="R65:U65"/>
    <mergeCell ref="R31:U31"/>
    <mergeCell ref="Z65:AC65"/>
    <mergeCell ref="B21:Q21"/>
    <mergeCell ref="S21:V21"/>
    <mergeCell ref="W21:AD21"/>
    <mergeCell ref="B22:Q22"/>
    <mergeCell ref="O62:Q62"/>
    <mergeCell ref="W62:Y62"/>
    <mergeCell ref="O63:Q63"/>
    <mergeCell ref="W63:Y63"/>
    <mergeCell ref="O64:Q64"/>
    <mergeCell ref="W64:Y64"/>
    <mergeCell ref="O54:Q54"/>
    <mergeCell ref="W54:Y54"/>
    <mergeCell ref="O55:Q55"/>
    <mergeCell ref="O30:P30"/>
    <mergeCell ref="R30:U30"/>
    <mergeCell ref="Z30:AC30"/>
    <mergeCell ref="R25:U25"/>
    <mergeCell ref="R20:U20"/>
    <mergeCell ref="R28:U28"/>
    <mergeCell ref="R29:U29"/>
    <mergeCell ref="Z28:AC28"/>
    <mergeCell ref="Z29:AC29"/>
    <mergeCell ref="W29:X29"/>
    <mergeCell ref="Z20:AC20"/>
    <mergeCell ref="Z22:AC22"/>
    <mergeCell ref="Z23:AC23"/>
    <mergeCell ref="R22:U22"/>
    <mergeCell ref="Z27:AC27"/>
  </mergeCells>
  <dataValidations count="1">
    <dataValidation type="list" allowBlank="1" showInputMessage="1" showErrorMessage="1" sqref="Z11:AC11 R11:U11" xr:uid="{00000000-0002-0000-0200-000000000000}">
      <formula1>$BF$1:$BF$4</formula1>
    </dataValidation>
  </dataValidations>
  <hyperlinks>
    <hyperlink ref="AF7" r:id="rId1" display="http://nicecalculator.hmrc.gov.uk/Class1NICs1.aspx" xr:uid="{00000000-0004-0000-0200-000000000000}"/>
  </hyperlinks>
  <pageMargins left="0.31496062992125984" right="0.31496062992125984" top="0.35433070866141736" bottom="0.35433070866141736" header="0.31496062992125984" footer="0.31496062992125984"/>
  <pageSetup paperSize="9" scale="86" orientation="portrait" r:id="rId2"/>
  <drawing r:id="rId3"/>
</worksheet>
</file>

<file path=docMetadata/LabelInfo.xml><?xml version="1.0" encoding="utf-8"?>
<clbl:labelList xmlns:clbl="http://schemas.microsoft.com/office/2020/mipLabelMetadata">
  <clbl:label id="{912a5d77-fb98-4eee-af32-1334d8f04a53}" enabled="0" method="" siteId="{912a5d77-fb98-4eee-af32-1334d8f04a5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</vt:lpstr>
      <vt:lpstr>Standing data</vt:lpstr>
      <vt:lpstr>Current to Proposed costs</vt:lpstr>
      <vt:lpstr>'Current to Proposed costs'!Print_Area</vt:lpstr>
      <vt:lpstr>'Standing data'!Print_Area</vt:lpstr>
      <vt:lpstr>Table!Print_Area</vt:lpstr>
    </vt:vector>
  </TitlesOfParts>
  <Company>University of Exeter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Johnson</dc:creator>
  <cp:lastModifiedBy>Allen, Becky</cp:lastModifiedBy>
  <cp:lastPrinted>2023-03-14T13:43:27Z</cp:lastPrinted>
  <dcterms:created xsi:type="dcterms:W3CDTF">2006-07-28T14:39:57Z</dcterms:created>
  <dcterms:modified xsi:type="dcterms:W3CDTF">2024-04-08T10:54:48Z</dcterms:modified>
</cp:coreProperties>
</file>