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273\OneDrive - University of Exeter\Literature\ReefBudget_sheets\Update July 2021\UPLOAD\"/>
    </mc:Choice>
  </mc:AlternateContent>
  <bookViews>
    <workbookView xWindow="-110" yWindow="-110" windowWidth="19420" windowHeight="10420"/>
  </bookViews>
  <sheets>
    <sheet name="Notes" sheetId="3" r:id="rId1"/>
    <sheet name="Coral growth rates and density" sheetId="1" r:id="rId2"/>
    <sheet name="Coral taxa average rates" sheetId="4" r:id="rId3"/>
    <sheet name="CCA calcification rates" sheetId="2" r:id="rId4"/>
    <sheet name="Macro-&amp; Microbioerosion rates" sheetId="5" r:id="rId5"/>
  </sheets>
  <definedNames>
    <definedName name="_xlnm._FilterDatabase" localSheetId="1" hidden="1">'Coral growth rates and density'!$A$1:$W$541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2" l="1"/>
  <c r="J34" i="2" l="1"/>
  <c r="I34" i="2"/>
  <c r="H33" i="2"/>
  <c r="H35" i="2"/>
  <c r="I35" i="2"/>
  <c r="J35" i="2"/>
  <c r="F26" i="5" l="1"/>
  <c r="F25" i="5" s="1"/>
  <c r="F27" i="5"/>
  <c r="K35" i="2"/>
  <c r="J4" i="1" l="1"/>
  <c r="J203" i="1"/>
  <c r="J91" i="1"/>
  <c r="E36" i="4" s="1"/>
  <c r="E197" i="4" s="1"/>
  <c r="J110" i="1"/>
  <c r="J146" i="1"/>
  <c r="J158" i="1"/>
  <c r="J232" i="1"/>
  <c r="J236" i="1"/>
  <c r="J239" i="1"/>
  <c r="J366" i="1"/>
  <c r="E206" i="4" s="1"/>
  <c r="E205" i="4" s="1"/>
  <c r="J541" i="1"/>
  <c r="E254" i="4" s="1"/>
  <c r="N414" i="1"/>
  <c r="N366" i="1"/>
  <c r="N363" i="1"/>
  <c r="N272" i="1"/>
  <c r="N256" i="1"/>
  <c r="N253" i="1"/>
  <c r="G149" i="4" s="1"/>
  <c r="G148" i="4" s="1"/>
  <c r="N4" i="1"/>
  <c r="N39" i="1"/>
  <c r="G23" i="4" s="1"/>
  <c r="G34" i="4" s="1"/>
  <c r="N146" i="1"/>
  <c r="N160" i="1"/>
  <c r="N176" i="1"/>
  <c r="G98" i="4" s="1"/>
  <c r="G96" i="4" s="1"/>
  <c r="N208" i="1"/>
  <c r="G107" i="4" s="1"/>
  <c r="N218" i="1"/>
  <c r="G123" i="4" s="1"/>
  <c r="G125" i="4" s="1"/>
  <c r="N220" i="1"/>
  <c r="N232" i="1"/>
  <c r="N236" i="1"/>
  <c r="N239" i="1"/>
  <c r="N284" i="1"/>
  <c r="G161" i="4" s="1"/>
  <c r="G163" i="4" s="1"/>
  <c r="N286" i="1"/>
  <c r="N293" i="1"/>
  <c r="J299" i="1"/>
  <c r="M272" i="1"/>
  <c r="F159" i="4" s="1"/>
  <c r="E161" i="4"/>
  <c r="E163" i="4" s="1"/>
  <c r="E135" i="4"/>
  <c r="G143" i="4"/>
  <c r="G121" i="4"/>
  <c r="G85" i="4"/>
  <c r="G54" i="4"/>
  <c r="E171" i="4"/>
  <c r="D206" i="4"/>
  <c r="D205" i="4" s="1"/>
  <c r="D171" i="4"/>
  <c r="F121" i="4"/>
  <c r="F43" i="4" s="1"/>
  <c r="F90" i="4"/>
  <c r="F88" i="4" s="1"/>
  <c r="G43" i="4"/>
  <c r="G239" i="4"/>
  <c r="E183" i="4"/>
  <c r="N291" i="1"/>
  <c r="G173" i="4" s="1"/>
  <c r="G172" i="4" s="1"/>
  <c r="J291" i="1"/>
  <c r="E173" i="4" s="1"/>
  <c r="E172" i="4" s="1"/>
  <c r="F239" i="4"/>
  <c r="M541" i="1"/>
  <c r="F253" i="4" s="1"/>
  <c r="N541" i="1"/>
  <c r="G254" i="4" s="1"/>
  <c r="N525" i="1"/>
  <c r="M525" i="1"/>
  <c r="F222" i="4" s="1"/>
  <c r="F220" i="4" s="1"/>
  <c r="J525" i="1"/>
  <c r="E222" i="4" s="1"/>
  <c r="E220" i="4" s="1"/>
  <c r="J434" i="1"/>
  <c r="E214" i="4" s="1"/>
  <c r="J428" i="1"/>
  <c r="E213" i="4" s="1"/>
  <c r="I428" i="1"/>
  <c r="D213" i="4" s="1"/>
  <c r="M428" i="1"/>
  <c r="F213" i="4" s="1"/>
  <c r="J412" i="1"/>
  <c r="E209" i="4" s="1"/>
  <c r="N406" i="1"/>
  <c r="N405" i="1"/>
  <c r="G208" i="4" s="1"/>
  <c r="I412" i="1"/>
  <c r="D209" i="4" s="1"/>
  <c r="N361" i="1"/>
  <c r="G201" i="4" s="1"/>
  <c r="J361" i="1"/>
  <c r="E201" i="4" s="1"/>
  <c r="E202" i="4" s="1"/>
  <c r="N337" i="1"/>
  <c r="G194" i="4" s="1"/>
  <c r="G195" i="4" s="1"/>
  <c r="N333" i="1"/>
  <c r="G190" i="4" s="1"/>
  <c r="G187" i="4" s="1"/>
  <c r="G186" i="4" s="1"/>
  <c r="N314" i="1"/>
  <c r="G189" i="4" s="1"/>
  <c r="M314" i="1"/>
  <c r="F189" i="4" s="1"/>
  <c r="N307" i="1"/>
  <c r="G188" i="4" s="1"/>
  <c r="J307" i="1"/>
  <c r="E188" i="4" s="1"/>
  <c r="N296" i="1"/>
  <c r="G178" i="4" s="1"/>
  <c r="G179" i="4" s="1"/>
  <c r="I291" i="1"/>
  <c r="M284" i="1"/>
  <c r="F161" i="4" s="1"/>
  <c r="F163" i="4" s="1"/>
  <c r="G159" i="4"/>
  <c r="J260" i="1"/>
  <c r="E158" i="4" s="1"/>
  <c r="J256" i="1"/>
  <c r="E153" i="4" s="1"/>
  <c r="J253" i="1"/>
  <c r="E149" i="4" s="1"/>
  <c r="E148" i="4" s="1"/>
  <c r="N245" i="1"/>
  <c r="G144" i="4" s="1"/>
  <c r="G94" i="4" s="1"/>
  <c r="J245" i="1"/>
  <c r="E144" i="4" s="1"/>
  <c r="E94" i="4" s="1"/>
  <c r="J234" i="1"/>
  <c r="E133" i="4" s="1"/>
  <c r="G132" i="4"/>
  <c r="G91" i="4" s="1"/>
  <c r="E132" i="4"/>
  <c r="J228" i="1"/>
  <c r="E129" i="4" s="1"/>
  <c r="E130" i="4" s="1"/>
  <c r="N225" i="1"/>
  <c r="G127" i="4" s="1"/>
  <c r="J225" i="1"/>
  <c r="E127" i="4" s="1"/>
  <c r="E131" i="4" s="1"/>
  <c r="N216" i="1"/>
  <c r="G122" i="4" s="1"/>
  <c r="J216" i="1"/>
  <c r="M206" i="1"/>
  <c r="F106" i="4" s="1"/>
  <c r="N206" i="1"/>
  <c r="G106" i="4" s="1"/>
  <c r="N203" i="1"/>
  <c r="G108" i="4" s="1"/>
  <c r="G109" i="4" s="1"/>
  <c r="E108" i="4"/>
  <c r="M203" i="1"/>
  <c r="F108" i="4" s="1"/>
  <c r="F110" i="4" s="1"/>
  <c r="J199" i="1"/>
  <c r="E104" i="4" s="1"/>
  <c r="E54" i="4" s="1"/>
  <c r="J183" i="1"/>
  <c r="N181" i="1"/>
  <c r="G101" i="4" s="1"/>
  <c r="G100" i="4" s="1"/>
  <c r="J181" i="1"/>
  <c r="E101" i="4" s="1"/>
  <c r="E100" i="4" s="1"/>
  <c r="I181" i="1"/>
  <c r="D101" i="4" s="1"/>
  <c r="M176" i="1"/>
  <c r="F98" i="4" s="1"/>
  <c r="J176" i="1"/>
  <c r="E98" i="4" s="1"/>
  <c r="E99" i="4" s="1"/>
  <c r="I176" i="1"/>
  <c r="D98" i="4" s="1"/>
  <c r="D97" i="4" s="1"/>
  <c r="J171" i="1"/>
  <c r="E95" i="4" s="1"/>
  <c r="E91" i="4"/>
  <c r="E89" i="4" s="1"/>
  <c r="N155" i="1"/>
  <c r="G92" i="4" s="1"/>
  <c r="J155" i="1"/>
  <c r="E92" i="4" s="1"/>
  <c r="G84" i="4"/>
  <c r="E82" i="4"/>
  <c r="N142" i="1"/>
  <c r="J142" i="1"/>
  <c r="E90" i="4" s="1"/>
  <c r="N126" i="1"/>
  <c r="G72" i="4" s="1"/>
  <c r="G71" i="4" s="1"/>
  <c r="J126" i="1"/>
  <c r="E72" i="4" s="1"/>
  <c r="E71" i="4" s="1"/>
  <c r="J120" i="1"/>
  <c r="E67" i="4" s="1"/>
  <c r="E65" i="4" s="1"/>
  <c r="N120" i="1"/>
  <c r="G67" i="4" s="1"/>
  <c r="E66" i="4"/>
  <c r="N99" i="1"/>
  <c r="G42" i="4" s="1"/>
  <c r="G41" i="4" s="1"/>
  <c r="J99" i="1"/>
  <c r="E42" i="4" s="1"/>
  <c r="E41" i="4" s="1"/>
  <c r="J94" i="1"/>
  <c r="E37" i="4" s="1"/>
  <c r="I91" i="1"/>
  <c r="D36" i="4" s="1"/>
  <c r="N88" i="1"/>
  <c r="G29" i="4" s="1"/>
  <c r="M88" i="1"/>
  <c r="F29" i="4" s="1"/>
  <c r="J70" i="1"/>
  <c r="E28" i="4" s="1"/>
  <c r="E26" i="4" s="1"/>
  <c r="N68" i="1"/>
  <c r="G27" i="4" s="1"/>
  <c r="N65" i="1"/>
  <c r="G25" i="4" s="1"/>
  <c r="N56" i="1"/>
  <c r="G24" i="4" s="1"/>
  <c r="J39" i="1"/>
  <c r="E23" i="4" s="1"/>
  <c r="E34" i="4" s="1"/>
  <c r="E20" i="4"/>
  <c r="G20" i="4"/>
  <c r="M4" i="1"/>
  <c r="I284" i="1"/>
  <c r="D161" i="4" s="1"/>
  <c r="D163" i="4" s="1"/>
  <c r="M160" i="1"/>
  <c r="M549" i="1" s="1"/>
  <c r="F17" i="4" s="1"/>
  <c r="M216" i="1"/>
  <c r="F126" i="4" s="1"/>
  <c r="M366" i="1"/>
  <c r="F206" i="4" s="1"/>
  <c r="F205" i="4" s="1"/>
  <c r="M412" i="1"/>
  <c r="F209" i="4" s="1"/>
  <c r="I66" i="1"/>
  <c r="I68" i="1" s="1"/>
  <c r="D27" i="4" s="1"/>
  <c r="I216" i="1"/>
  <c r="D122" i="4" s="1"/>
  <c r="I525" i="1"/>
  <c r="D225" i="4" s="1"/>
  <c r="D223" i="4" s="1"/>
  <c r="H152" i="4"/>
  <c r="M245" i="1"/>
  <c r="F144" i="4" s="1"/>
  <c r="F94" i="4" s="1"/>
  <c r="I245" i="1"/>
  <c r="D144" i="4" s="1"/>
  <c r="D248" i="4" s="1"/>
  <c r="D185" i="4" s="1"/>
  <c r="M101" i="1"/>
  <c r="F51" i="4" s="1"/>
  <c r="F50" i="4" s="1"/>
  <c r="H251" i="4"/>
  <c r="H203" i="4"/>
  <c r="H191" i="4"/>
  <c r="H158" i="4"/>
  <c r="H127" i="4"/>
  <c r="H121" i="4"/>
  <c r="H80" i="4"/>
  <c r="M103" i="1"/>
  <c r="F54" i="4" s="1"/>
  <c r="M105" i="1"/>
  <c r="N105" i="1" s="1"/>
  <c r="G58" i="4" s="1"/>
  <c r="M236" i="1"/>
  <c r="F135" i="4" s="1"/>
  <c r="F136" i="4" s="1"/>
  <c r="M291" i="1"/>
  <c r="F173" i="4" s="1"/>
  <c r="F172" i="4" s="1"/>
  <c r="M363" i="1"/>
  <c r="M99" i="1"/>
  <c r="F42" i="4" s="1"/>
  <c r="F41" i="4" s="1"/>
  <c r="M120" i="1"/>
  <c r="F67" i="4" s="1"/>
  <c r="F65" i="4" s="1"/>
  <c r="M126" i="1"/>
  <c r="F72" i="4" s="1"/>
  <c r="F71" i="4" s="1"/>
  <c r="M142" i="1"/>
  <c r="F74" i="4" s="1"/>
  <c r="F73" i="4" s="1"/>
  <c r="M155" i="1"/>
  <c r="F92" i="4" s="1"/>
  <c r="M181" i="1"/>
  <c r="F101" i="4" s="1"/>
  <c r="F100" i="4" s="1"/>
  <c r="M195" i="1"/>
  <c r="N199" i="1" s="1"/>
  <c r="G104" i="4" s="1"/>
  <c r="M333" i="1"/>
  <c r="F190" i="4" s="1"/>
  <c r="F187" i="4" s="1"/>
  <c r="F186" i="4" s="1"/>
  <c r="M361" i="1"/>
  <c r="F201" i="4" s="1"/>
  <c r="F200" i="4" s="1"/>
  <c r="M435" i="1"/>
  <c r="N515" i="1" s="1"/>
  <c r="G216" i="4" s="1"/>
  <c r="M468" i="1"/>
  <c r="I4" i="1"/>
  <c r="I236" i="1"/>
  <c r="D135" i="4" s="1"/>
  <c r="D136" i="4" s="1"/>
  <c r="I94" i="1"/>
  <c r="D37" i="4" s="1"/>
  <c r="D156" i="4" s="1"/>
  <c r="I99" i="1"/>
  <c r="D42" i="4" s="1"/>
  <c r="D41" i="4" s="1"/>
  <c r="I120" i="1"/>
  <c r="D67" i="4" s="1"/>
  <c r="D68" i="4" s="1"/>
  <c r="I126" i="1"/>
  <c r="D72" i="4" s="1"/>
  <c r="D71" i="4" s="1"/>
  <c r="I142" i="1"/>
  <c r="D90" i="4" s="1"/>
  <c r="D73" i="4" s="1"/>
  <c r="I155" i="1"/>
  <c r="D92" i="4" s="1"/>
  <c r="I199" i="1"/>
  <c r="D104" i="4" s="1"/>
  <c r="D54" i="4" s="1"/>
  <c r="I203" i="1"/>
  <c r="D108" i="4" s="1"/>
  <c r="D109" i="4" s="1"/>
  <c r="I318" i="1"/>
  <c r="I323" i="1"/>
  <c r="I330" i="1"/>
  <c r="I332" i="1"/>
  <c r="I361" i="1"/>
  <c r="D201" i="4" s="1"/>
  <c r="D202" i="4" s="1"/>
  <c r="I435" i="1"/>
  <c r="I440" i="1"/>
  <c r="I447" i="1"/>
  <c r="I449" i="1"/>
  <c r="I453" i="1"/>
  <c r="I454" i="1"/>
  <c r="I511" i="1"/>
  <c r="I531" i="1"/>
  <c r="J535" i="1" s="1"/>
  <c r="E245" i="4" s="1"/>
  <c r="I532" i="1"/>
  <c r="M218" i="1"/>
  <c r="F123" i="4" s="1"/>
  <c r="F125" i="4"/>
  <c r="M424" i="1"/>
  <c r="N428" i="1" s="1"/>
  <c r="G213" i="4" s="1"/>
  <c r="M405" i="1"/>
  <c r="F208" i="4" s="1"/>
  <c r="M307" i="1"/>
  <c r="F188" i="4" s="1"/>
  <c r="M280" i="1"/>
  <c r="F160" i="4" s="1"/>
  <c r="M256" i="1"/>
  <c r="F152" i="4" s="1"/>
  <c r="M232" i="1"/>
  <c r="F132" i="4" s="1"/>
  <c r="F89" i="4" s="1"/>
  <c r="M171" i="1"/>
  <c r="F212" i="4" s="1"/>
  <c r="M65" i="1"/>
  <c r="F25" i="4" s="1"/>
  <c r="M56" i="1"/>
  <c r="F24" i="4" s="1"/>
  <c r="F26" i="4" s="1"/>
  <c r="M39" i="1"/>
  <c r="F23" i="4" s="1"/>
  <c r="F34" i="4" s="1"/>
  <c r="M25" i="1"/>
  <c r="M26" i="1"/>
  <c r="M32" i="1" s="1"/>
  <c r="F22" i="4" s="1"/>
  <c r="M27" i="1"/>
  <c r="M414" i="1"/>
  <c r="F211" i="4" s="1"/>
  <c r="M406" i="1"/>
  <c r="M337" i="1"/>
  <c r="F194" i="4" s="1"/>
  <c r="F191" i="4" s="1"/>
  <c r="M296" i="1"/>
  <c r="F178" i="4" s="1"/>
  <c r="F179" i="4" s="1"/>
  <c r="M293" i="1"/>
  <c r="F175" i="4" s="1"/>
  <c r="F177" i="4" s="1"/>
  <c r="M286" i="1"/>
  <c r="F165" i="4" s="1"/>
  <c r="F167" i="4" s="1"/>
  <c r="M260" i="1"/>
  <c r="F158" i="4" s="1"/>
  <c r="M253" i="1"/>
  <c r="F149" i="4" s="1"/>
  <c r="F148" i="4" s="1"/>
  <c r="M247" i="1"/>
  <c r="F143" i="4" s="1"/>
  <c r="M239" i="1"/>
  <c r="F140" i="4" s="1"/>
  <c r="M225" i="1"/>
  <c r="F127" i="4" s="1"/>
  <c r="F131" i="4" s="1"/>
  <c r="M220" i="1"/>
  <c r="M210" i="1"/>
  <c r="F114" i="4" s="1"/>
  <c r="M208" i="1"/>
  <c r="F107" i="4" s="1"/>
  <c r="M146" i="1"/>
  <c r="F85" i="4" s="1"/>
  <c r="M68" i="1"/>
  <c r="F27" i="4" s="1"/>
  <c r="I541" i="1"/>
  <c r="D254" i="4" s="1"/>
  <c r="I526" i="1"/>
  <c r="I368" i="1"/>
  <c r="I370" i="1"/>
  <c r="I371" i="1"/>
  <c r="I372" i="1"/>
  <c r="I377" i="1"/>
  <c r="I378" i="1"/>
  <c r="I384" i="1"/>
  <c r="I392" i="1"/>
  <c r="I403" i="1"/>
  <c r="I308" i="1"/>
  <c r="J314" i="1" s="1"/>
  <c r="E189" i="4" s="1"/>
  <c r="I307" i="1"/>
  <c r="D188" i="4" s="1"/>
  <c r="I277" i="1"/>
  <c r="I256" i="1"/>
  <c r="D152" i="4" s="1"/>
  <c r="I232" i="1"/>
  <c r="D132" i="4" s="1"/>
  <c r="I171" i="1"/>
  <c r="D212" i="4" s="1"/>
  <c r="I78" i="1"/>
  <c r="I80" i="1"/>
  <c r="I81" i="1"/>
  <c r="I64" i="1"/>
  <c r="J65" i="1" s="1"/>
  <c r="E25" i="4" s="1"/>
  <c r="I44" i="1"/>
  <c r="I46" i="1"/>
  <c r="I49" i="1"/>
  <c r="I39" i="1"/>
  <c r="D23" i="4" s="1"/>
  <c r="D34" i="4" s="1"/>
  <c r="I15" i="1"/>
  <c r="I17" i="1"/>
  <c r="I25" i="1"/>
  <c r="I26" i="1"/>
  <c r="I27" i="1"/>
  <c r="I434" i="1"/>
  <c r="D214" i="4" s="1"/>
  <c r="I300" i="1"/>
  <c r="J301" i="1" s="1"/>
  <c r="I261" i="1"/>
  <c r="J272" i="1" s="1"/>
  <c r="I260" i="1"/>
  <c r="D158" i="4" s="1"/>
  <c r="I253" i="1"/>
  <c r="D149" i="4" s="1"/>
  <c r="D148" i="4" s="1"/>
  <c r="I239" i="1"/>
  <c r="D140" i="4" s="1"/>
  <c r="I237" i="1"/>
  <c r="D138" i="4" s="1"/>
  <c r="D139" i="4" s="1"/>
  <c r="I225" i="1"/>
  <c r="D127" i="4" s="1"/>
  <c r="D131" i="4" s="1"/>
  <c r="I210" i="1"/>
  <c r="D114" i="4" s="1"/>
  <c r="I299" i="1"/>
  <c r="I183" i="1"/>
  <c r="I146" i="1"/>
  <c r="D82" i="4" s="1"/>
  <c r="I110" i="1"/>
  <c r="I228" i="1"/>
  <c r="D129" i="4" s="1"/>
  <c r="D130" i="4" s="1"/>
  <c r="I234" i="1"/>
  <c r="D133" i="4" s="1"/>
  <c r="N171" i="1"/>
  <c r="G63" i="4" s="1"/>
  <c r="G206" i="4"/>
  <c r="G205" i="4" s="1"/>
  <c r="G175" i="4"/>
  <c r="G176" i="4" s="1"/>
  <c r="G165" i="4"/>
  <c r="N260" i="1"/>
  <c r="G158" i="4" s="1"/>
  <c r="G140" i="4"/>
  <c r="E140" i="4"/>
  <c r="G135" i="4"/>
  <c r="G136" i="4" s="1"/>
  <c r="I158" i="1"/>
  <c r="D91" i="4" s="1"/>
  <c r="D89" i="4" s="1"/>
  <c r="G211" i="4"/>
  <c r="G210" i="4" s="1"/>
  <c r="F210" i="4"/>
  <c r="H4" i="2"/>
  <c r="H5" i="2"/>
  <c r="H6" i="2"/>
  <c r="H12" i="2"/>
  <c r="H13" i="2"/>
  <c r="H8" i="2"/>
  <c r="J66" i="1"/>
  <c r="J68" i="1" s="1"/>
  <c r="N210" i="1"/>
  <c r="G114" i="4" s="1"/>
  <c r="J210" i="1"/>
  <c r="E114" i="4" s="1"/>
  <c r="K27" i="5"/>
  <c r="P29" i="5"/>
  <c r="Q27" i="5"/>
  <c r="R29" i="5"/>
  <c r="Q29" i="5"/>
  <c r="R27" i="5"/>
  <c r="P27" i="5"/>
  <c r="M29" i="5"/>
  <c r="L29" i="5"/>
  <c r="K29" i="5"/>
  <c r="M27" i="5"/>
  <c r="L27" i="5"/>
  <c r="H29" i="5"/>
  <c r="G29" i="5"/>
  <c r="F29" i="5"/>
  <c r="H27" i="5"/>
  <c r="G27" i="5"/>
  <c r="Q18" i="5"/>
  <c r="P18" i="5"/>
  <c r="L18" i="5"/>
  <c r="K18" i="5"/>
  <c r="K28" i="5" s="1"/>
  <c r="G18" i="5"/>
  <c r="F18" i="5"/>
  <c r="H26" i="5" s="1"/>
  <c r="H25" i="5" s="1"/>
  <c r="M28" i="5"/>
  <c r="G26" i="5"/>
  <c r="G25" i="5" s="1"/>
  <c r="G32" i="5" s="1"/>
  <c r="G28" i="5"/>
  <c r="F28" i="5"/>
  <c r="Q28" i="5"/>
  <c r="R26" i="5"/>
  <c r="R25" i="5" s="1"/>
  <c r="P28" i="5"/>
  <c r="Q26" i="5"/>
  <c r="Q25" i="5"/>
  <c r="P26" i="5"/>
  <c r="P25" i="5"/>
  <c r="R28" i="5"/>
  <c r="I4" i="2"/>
  <c r="I8" i="2"/>
  <c r="F48" i="2"/>
  <c r="F49" i="2"/>
  <c r="I6" i="2"/>
  <c r="I5" i="2"/>
  <c r="N412" i="1"/>
  <c r="G209" i="4" s="1"/>
  <c r="N280" i="1"/>
  <c r="G162" i="4" s="1"/>
  <c r="J531" i="1"/>
  <c r="J511" i="1"/>
  <c r="J449" i="1"/>
  <c r="J447" i="1"/>
  <c r="N435" i="1"/>
  <c r="J435" i="1"/>
  <c r="J392" i="1"/>
  <c r="J17" i="1"/>
  <c r="K17" i="1"/>
  <c r="J330" i="1"/>
  <c r="J318" i="1"/>
  <c r="J372" i="1"/>
  <c r="J378" i="1"/>
  <c r="J370" i="1"/>
  <c r="J371" i="1"/>
  <c r="J332" i="1"/>
  <c r="J323" i="1"/>
  <c r="J300" i="1"/>
  <c r="J440" i="1"/>
  <c r="J308" i="1"/>
  <c r="J237" i="1"/>
  <c r="E138" i="4" s="1"/>
  <c r="E139" i="4" s="1"/>
  <c r="J277" i="1"/>
  <c r="J78" i="1"/>
  <c r="J44" i="1"/>
  <c r="J532" i="1"/>
  <c r="J46" i="1"/>
  <c r="J81" i="1"/>
  <c r="J526" i="1"/>
  <c r="J403" i="1"/>
  <c r="J368" i="1"/>
  <c r="J261" i="1"/>
  <c r="J80" i="1"/>
  <c r="J49" i="1"/>
  <c r="J64" i="1"/>
  <c r="J530" i="1"/>
  <c r="J36" i="2" l="1"/>
  <c r="H36" i="2"/>
  <c r="I36" i="2"/>
  <c r="J37" i="2"/>
  <c r="J32" i="2"/>
  <c r="G202" i="4"/>
  <c r="G200" i="4"/>
  <c r="E187" i="4"/>
  <c r="E186" i="4" s="1"/>
  <c r="M26" i="5"/>
  <c r="M25" i="5" s="1"/>
  <c r="I301" i="1"/>
  <c r="D187" i="4" s="1"/>
  <c r="D186" i="4" s="1"/>
  <c r="J405" i="1"/>
  <c r="E208" i="4" s="1"/>
  <c r="M515" i="1"/>
  <c r="F216" i="4" s="1"/>
  <c r="F58" i="4"/>
  <c r="F57" i="4" s="1"/>
  <c r="D153" i="4"/>
  <c r="N32" i="1"/>
  <c r="G22" i="4" s="1"/>
  <c r="L28" i="5"/>
  <c r="G124" i="4"/>
  <c r="N101" i="1"/>
  <c r="G51" i="4" s="1"/>
  <c r="G50" i="4" s="1"/>
  <c r="D94" i="4"/>
  <c r="I33" i="2"/>
  <c r="K33" i="2" s="1"/>
  <c r="J33" i="2"/>
  <c r="K26" i="5"/>
  <c r="K25" i="5" s="1"/>
  <c r="M199" i="1"/>
  <c r="F104" i="4" s="1"/>
  <c r="F103" i="4" s="1"/>
  <c r="F182" i="4" s="1"/>
  <c r="D112" i="4"/>
  <c r="E225" i="4"/>
  <c r="E223" i="4" s="1"/>
  <c r="N549" i="1"/>
  <c r="G17" i="4" s="1"/>
  <c r="H28" i="5"/>
  <c r="L26" i="5"/>
  <c r="L25" i="5" s="1"/>
  <c r="L32" i="5" s="1"/>
  <c r="I37" i="2"/>
  <c r="K37" i="2" s="1"/>
  <c r="I405" i="1"/>
  <c r="D208" i="4" s="1"/>
  <c r="I314" i="1"/>
  <c r="D189" i="4" s="1"/>
  <c r="F122" i="4"/>
  <c r="E27" i="4"/>
  <c r="H37" i="2"/>
  <c r="J544" i="1"/>
  <c r="E12" i="4" s="1"/>
  <c r="E159" i="4"/>
  <c r="J32" i="1"/>
  <c r="E22" i="4" s="1"/>
  <c r="E61" i="4"/>
  <c r="I272" i="1"/>
  <c r="D159" i="4" s="1"/>
  <c r="J88" i="1"/>
  <c r="E29" i="4" s="1"/>
  <c r="E235" i="4"/>
  <c r="E30" i="4"/>
  <c r="I529" i="1"/>
  <c r="D236" i="4" s="1"/>
  <c r="J529" i="1"/>
  <c r="E236" i="4" s="1"/>
  <c r="G28" i="4"/>
  <c r="G26" i="4"/>
  <c r="E35" i="4"/>
  <c r="E154" i="4" s="1"/>
  <c r="E156" i="4"/>
  <c r="E198" i="4"/>
  <c r="E184" i="4"/>
  <c r="E88" i="4"/>
  <c r="E74" i="4"/>
  <c r="E73" i="4"/>
  <c r="E21" i="4"/>
  <c r="E120" i="4"/>
  <c r="E249" i="4"/>
  <c r="E49" i="4"/>
  <c r="E142" i="4"/>
  <c r="E64" i="4"/>
  <c r="E164" i="4"/>
  <c r="E116" i="4"/>
  <c r="E124" i="4"/>
  <c r="E123" i="4" s="1"/>
  <c r="E122" i="4"/>
  <c r="E126" i="4"/>
  <c r="G76" i="4"/>
  <c r="G252" i="4"/>
  <c r="G251" i="4"/>
  <c r="D183" i="4"/>
  <c r="D182" i="4"/>
  <c r="D76" i="4"/>
  <c r="D252" i="4"/>
  <c r="I544" i="1"/>
  <c r="D12" i="4" s="1"/>
  <c r="D235" i="4" s="1"/>
  <c r="G74" i="4"/>
  <c r="G73" i="4" s="1"/>
  <c r="G90" i="4"/>
  <c r="G88" i="4" s="1"/>
  <c r="E203" i="4"/>
  <c r="E44" i="4"/>
  <c r="I56" i="1"/>
  <c r="D24" i="4" s="1"/>
  <c r="J56" i="1"/>
  <c r="E24" i="4" s="1"/>
  <c r="E181" i="4"/>
  <c r="E246" i="4"/>
  <c r="D88" i="4"/>
  <c r="D74" i="4"/>
  <c r="G214" i="4"/>
  <c r="G217" i="4"/>
  <c r="G215" i="4"/>
  <c r="G118" i="4"/>
  <c r="G19" i="4"/>
  <c r="G150" i="4" s="1"/>
  <c r="G151" i="4"/>
  <c r="E109" i="4"/>
  <c r="E107" i="4"/>
  <c r="E110" i="4"/>
  <c r="G75" i="4"/>
  <c r="G203" i="4"/>
  <c r="G204" i="4"/>
  <c r="G87" i="4"/>
  <c r="G93" i="4"/>
  <c r="G196" i="4"/>
  <c r="G247" i="4"/>
  <c r="E207" i="4"/>
  <c r="I515" i="1"/>
  <c r="D216" i="4" s="1"/>
  <c r="D217" i="4" s="1"/>
  <c r="E248" i="4"/>
  <c r="E185" i="4" s="1"/>
  <c r="G56" i="4"/>
  <c r="G57" i="4"/>
  <c r="G59" i="4"/>
  <c r="G60" i="4"/>
  <c r="J280" i="1"/>
  <c r="I280" i="1"/>
  <c r="E19" i="4"/>
  <c r="E150" i="4" s="1"/>
  <c r="E151" i="4"/>
  <c r="G65" i="4"/>
  <c r="G66" i="4"/>
  <c r="G68" i="4"/>
  <c r="G166" i="4"/>
  <c r="G167" i="4"/>
  <c r="F196" i="4"/>
  <c r="F44" i="4"/>
  <c r="G153" i="4"/>
  <c r="G152" i="4"/>
  <c r="G131" i="4"/>
  <c r="G128" i="4"/>
  <c r="G129" i="4"/>
  <c r="G130" i="4" s="1"/>
  <c r="D66" i="4"/>
  <c r="M543" i="1"/>
  <c r="F11" i="4" s="1"/>
  <c r="F245" i="4" s="1"/>
  <c r="F181" i="4" s="1"/>
  <c r="J333" i="1"/>
  <c r="E190" i="4" s="1"/>
  <c r="I333" i="1"/>
  <c r="D190" i="4" s="1"/>
  <c r="G225" i="4"/>
  <c r="G223" i="4" s="1"/>
  <c r="G222" i="4"/>
  <c r="E118" i="4"/>
  <c r="G102" i="4"/>
  <c r="G183" i="4"/>
  <c r="G46" i="4"/>
  <c r="G33" i="4"/>
  <c r="E76" i="4"/>
  <c r="E251" i="4"/>
  <c r="F82" i="4"/>
  <c r="I88" i="1"/>
  <c r="D29" i="4" s="1"/>
  <c r="N543" i="1"/>
  <c r="G11" i="4" s="1"/>
  <c r="G245" i="4" s="1"/>
  <c r="D61" i="4"/>
  <c r="F112" i="4"/>
  <c r="F153" i="4"/>
  <c r="E63" i="4"/>
  <c r="E84" i="4"/>
  <c r="E152" i="4"/>
  <c r="E182" i="4"/>
  <c r="G126" i="4"/>
  <c r="I65" i="1"/>
  <c r="I535" i="1"/>
  <c r="J406" i="1"/>
  <c r="J515" i="1"/>
  <c r="E216" i="4" s="1"/>
  <c r="E217" i="4" s="1"/>
  <c r="N548" i="1"/>
  <c r="G16" i="4" s="1"/>
  <c r="G234" i="4" s="1"/>
  <c r="F61" i="4"/>
  <c r="F83" i="4"/>
  <c r="D124" i="4"/>
  <c r="D125" i="4" s="1"/>
  <c r="D253" i="4"/>
  <c r="G112" i="4"/>
  <c r="G253" i="4"/>
  <c r="D20" i="4"/>
  <c r="D19" i="4" s="1"/>
  <c r="D150" i="4" s="1"/>
  <c r="D63" i="4"/>
  <c r="D80" i="4"/>
  <c r="D84" i="4"/>
  <c r="F124" i="4"/>
  <c r="F162" i="4"/>
  <c r="E112" i="4"/>
  <c r="E212" i="4"/>
  <c r="E253" i="4"/>
  <c r="G80" i="4"/>
  <c r="G95" i="4"/>
  <c r="G117" i="4" s="1"/>
  <c r="D100" i="4"/>
  <c r="N546" i="1"/>
  <c r="G14" i="4" s="1"/>
  <c r="F20" i="4"/>
  <c r="F151" i="4" s="1"/>
  <c r="F63" i="4"/>
  <c r="F80" i="4"/>
  <c r="F84" i="4"/>
  <c r="D95" i="4"/>
  <c r="D207" i="4" s="1"/>
  <c r="D115" i="4"/>
  <c r="D126" i="4"/>
  <c r="D222" i="4"/>
  <c r="D221" i="4" s="1"/>
  <c r="G81" i="4"/>
  <c r="G115" i="4"/>
  <c r="I406" i="1"/>
  <c r="I70" i="1"/>
  <c r="J549" i="1" s="1"/>
  <c r="I545" i="1"/>
  <c r="D13" i="4" s="1"/>
  <c r="D243" i="4" s="1"/>
  <c r="N545" i="1"/>
  <c r="G13" i="4" s="1"/>
  <c r="G45" i="4" s="1"/>
  <c r="D81" i="4"/>
  <c r="F95" i="4"/>
  <c r="F115" i="4"/>
  <c r="F254" i="4"/>
  <c r="F252" i="4" s="1"/>
  <c r="E80" i="4"/>
  <c r="E115" i="4"/>
  <c r="G82" i="4"/>
  <c r="G160" i="4"/>
  <c r="G212" i="4"/>
  <c r="F81" i="4"/>
  <c r="D173" i="4"/>
  <c r="E81" i="4"/>
  <c r="G61" i="4"/>
  <c r="G83" i="4"/>
  <c r="I32" i="1"/>
  <c r="D22" i="4" s="1"/>
  <c r="M545" i="1"/>
  <c r="F13" i="4" s="1"/>
  <c r="F218" i="4" s="1"/>
  <c r="F225" i="4"/>
  <c r="F223" i="4" s="1"/>
  <c r="E136" i="4"/>
  <c r="E134" i="4"/>
  <c r="G233" i="4"/>
  <c r="G99" i="4"/>
  <c r="G120" i="4"/>
  <c r="G97" i="4"/>
  <c r="G142" i="4"/>
  <c r="G141" i="4"/>
  <c r="G116" i="4"/>
  <c r="E233" i="4"/>
  <c r="E255" i="4"/>
  <c r="E242" i="4"/>
  <c r="E224" i="4"/>
  <c r="E128" i="4"/>
  <c r="E38" i="4"/>
  <c r="E56" i="4"/>
  <c r="F97" i="4"/>
  <c r="D105" i="4"/>
  <c r="D106" i="4"/>
  <c r="F247" i="4"/>
  <c r="F214" i="4"/>
  <c r="F133" i="4"/>
  <c r="E247" i="4"/>
  <c r="E75" i="4"/>
  <c r="E125" i="4"/>
  <c r="E106" i="4"/>
  <c r="E105" i="4"/>
  <c r="G244" i="4"/>
  <c r="G38" i="4"/>
  <c r="D107" i="4"/>
  <c r="E196" i="4"/>
  <c r="E102" i="4"/>
  <c r="D110" i="4"/>
  <c r="F244" i="4"/>
  <c r="E204" i="4"/>
  <c r="E68" i="4"/>
  <c r="G181" i="4"/>
  <c r="G246" i="4"/>
  <c r="G249" i="4"/>
  <c r="G193" i="4"/>
  <c r="G177" i="4"/>
  <c r="G89" i="4"/>
  <c r="G44" i="4"/>
  <c r="G248" i="4"/>
  <c r="G185" i="4" s="1"/>
  <c r="G224" i="4"/>
  <c r="G192" i="4"/>
  <c r="G105" i="4"/>
  <c r="G191" i="4"/>
  <c r="G236" i="4"/>
  <c r="G174" i="4"/>
  <c r="G103" i="4"/>
  <c r="G182" i="4" s="1"/>
  <c r="G86" i="4"/>
  <c r="G69" i="4"/>
  <c r="G119" i="4"/>
  <c r="G110" i="4"/>
  <c r="G180" i="4"/>
  <c r="G48" i="4"/>
  <c r="G133" i="4"/>
  <c r="E174" i="4"/>
  <c r="E155" i="4"/>
  <c r="E121" i="4"/>
  <c r="E43" i="4" s="1"/>
  <c r="E113" i="4"/>
  <c r="E96" i="4"/>
  <c r="E87" i="4"/>
  <c r="E221" i="4"/>
  <c r="E103" i="4"/>
  <c r="E86" i="4"/>
  <c r="E69" i="4"/>
  <c r="E51" i="4"/>
  <c r="E252" i="4"/>
  <c r="E143" i="4"/>
  <c r="E119" i="4"/>
  <c r="E93" i="4"/>
  <c r="E50" i="4"/>
  <c r="E215" i="4"/>
  <c r="E141" i="4"/>
  <c r="E117" i="4"/>
  <c r="E48" i="4"/>
  <c r="E97" i="4"/>
  <c r="M548" i="1"/>
  <c r="M546" i="1"/>
  <c r="F109" i="4"/>
  <c r="D96" i="4"/>
  <c r="D99" i="4"/>
  <c r="D197" i="4"/>
  <c r="F33" i="4"/>
  <c r="F204" i="4"/>
  <c r="F93" i="4"/>
  <c r="F87" i="4"/>
  <c r="F86" i="4"/>
  <c r="F203" i="4"/>
  <c r="F75" i="4"/>
  <c r="F248" i="4"/>
  <c r="F185" i="4" s="1"/>
  <c r="D35" i="4"/>
  <c r="D154" i="4" s="1"/>
  <c r="D198" i="4"/>
  <c r="D38" i="4"/>
  <c r="F46" i="4"/>
  <c r="F99" i="4"/>
  <c r="F174" i="4"/>
  <c r="F183" i="4"/>
  <c r="F96" i="4"/>
  <c r="D123" i="4"/>
  <c r="D87" i="4"/>
  <c r="D143" i="4"/>
  <c r="F166" i="4"/>
  <c r="F176" i="4"/>
  <c r="D247" i="4"/>
  <c r="F38" i="4"/>
  <c r="D203" i="4"/>
  <c r="D204" i="4"/>
  <c r="F217" i="4"/>
  <c r="D151" i="4"/>
  <c r="F221" i="4"/>
  <c r="F118" i="4"/>
  <c r="F19" i="4"/>
  <c r="F150" i="4" s="1"/>
  <c r="D93" i="4"/>
  <c r="D251" i="4"/>
  <c r="F202" i="4"/>
  <c r="F195" i="4"/>
  <c r="D134" i="4"/>
  <c r="D184" i="4"/>
  <c r="F233" i="4"/>
  <c r="D141" i="4"/>
  <c r="D120" i="4"/>
  <c r="F193" i="4"/>
  <c r="D102" i="4"/>
  <c r="F192" i="4"/>
  <c r="F56" i="4"/>
  <c r="D21" i="4"/>
  <c r="F91" i="4"/>
  <c r="D69" i="4"/>
  <c r="F129" i="4"/>
  <c r="F130" i="4" s="1"/>
  <c r="F28" i="4"/>
  <c r="F180" i="4"/>
  <c r="F59" i="4"/>
  <c r="D118" i="4"/>
  <c r="F60" i="4"/>
  <c r="F68" i="4"/>
  <c r="F69" i="4"/>
  <c r="D119" i="4"/>
  <c r="D103" i="4"/>
  <c r="F142" i="4"/>
  <c r="F224" i="4"/>
  <c r="F49" i="4"/>
  <c r="D50" i="4"/>
  <c r="D128" i="4"/>
  <c r="D65" i="4"/>
  <c r="F66" i="4"/>
  <c r="F128" i="4"/>
  <c r="F249" i="4"/>
  <c r="D196" i="4"/>
  <c r="D86" i="4"/>
  <c r="D51" i="4"/>
  <c r="D75" i="4"/>
  <c r="D56" i="4"/>
  <c r="F215" i="4"/>
  <c r="F64" i="4"/>
  <c r="F117" i="4"/>
  <c r="F141" i="4"/>
  <c r="D49" i="4"/>
  <c r="D44" i="4"/>
  <c r="D242" i="4"/>
  <c r="F164" i="4"/>
  <c r="F21" i="4"/>
  <c r="K34" i="2" l="1"/>
  <c r="K36" i="2"/>
  <c r="F237" i="4"/>
  <c r="J548" i="1"/>
  <c r="E16" i="4" s="1"/>
  <c r="I548" i="1"/>
  <c r="D16" i="4" s="1"/>
  <c r="I32" i="2"/>
  <c r="F102" i="4"/>
  <c r="M551" i="1"/>
  <c r="I546" i="1"/>
  <c r="D14" i="4" s="1"/>
  <c r="D220" i="4"/>
  <c r="F105" i="4"/>
  <c r="F45" i="4"/>
  <c r="F119" i="4"/>
  <c r="G49" i="4"/>
  <c r="G64" i="4"/>
  <c r="J545" i="1"/>
  <c r="E13" i="4" s="1"/>
  <c r="E226" i="4" s="1"/>
  <c r="F243" i="4"/>
  <c r="F134" i="4"/>
  <c r="J546" i="1"/>
  <c r="E14" i="4" s="1"/>
  <c r="E79" i="4" s="1"/>
  <c r="M547" i="1"/>
  <c r="F31" i="4"/>
  <c r="F236" i="4"/>
  <c r="F246" i="4"/>
  <c r="F226" i="4"/>
  <c r="N551" i="1"/>
  <c r="N547" i="1"/>
  <c r="G15" i="4" s="1"/>
  <c r="H32" i="2"/>
  <c r="D52" i="4"/>
  <c r="G134" i="4"/>
  <c r="F171" i="4"/>
  <c r="F36" i="4"/>
  <c r="F155" i="4" s="1"/>
  <c r="F77" i="4"/>
  <c r="F137" i="4"/>
  <c r="F78" i="4"/>
  <c r="D175" i="4"/>
  <c r="D137" i="4"/>
  <c r="D45" i="4"/>
  <c r="D165" i="4"/>
  <c r="E178" i="4"/>
  <c r="D226" i="4"/>
  <c r="D237" i="4"/>
  <c r="E176" i="4"/>
  <c r="E179" i="4"/>
  <c r="E166" i="4"/>
  <c r="J551" i="1"/>
  <c r="I551" i="1"/>
  <c r="D245" i="4"/>
  <c r="J547" i="1"/>
  <c r="E15" i="4" s="1"/>
  <c r="E83" i="4" s="1"/>
  <c r="D48" i="4"/>
  <c r="D167" i="4"/>
  <c r="D121" i="4"/>
  <c r="D43" i="4" s="1"/>
  <c r="D178" i="4"/>
  <c r="D210" i="4"/>
  <c r="F251" i="4"/>
  <c r="G21" i="4"/>
  <c r="G255" i="4"/>
  <c r="G207" i="4"/>
  <c r="G164" i="4"/>
  <c r="G113" i="4"/>
  <c r="D25" i="4"/>
  <c r="J543" i="1"/>
  <c r="E11" i="4" s="1"/>
  <c r="E191" i="4" s="1"/>
  <c r="D113" i="4"/>
  <c r="D192" i="4"/>
  <c r="F14" i="4"/>
  <c r="F138" i="4" s="1"/>
  <c r="F139" i="4" s="1"/>
  <c r="G218" i="4"/>
  <c r="G36" i="4"/>
  <c r="G197" i="4" s="1"/>
  <c r="G78" i="4"/>
  <c r="I547" i="1"/>
  <c r="D15" i="4" s="1"/>
  <c r="D83" i="4" s="1"/>
  <c r="D28" i="4"/>
  <c r="D26" i="4" s="1"/>
  <c r="I549" i="1"/>
  <c r="D17" i="4" s="1"/>
  <c r="D85" i="4" s="1"/>
  <c r="E17" i="4"/>
  <c r="E85" i="4" s="1"/>
  <c r="E45" i="4"/>
  <c r="E192" i="4"/>
  <c r="E237" i="4"/>
  <c r="E165" i="4"/>
  <c r="D160" i="4"/>
  <c r="D162" i="4"/>
  <c r="D249" i="4"/>
  <c r="D224" i="4"/>
  <c r="D116" i="4"/>
  <c r="D211" i="4"/>
  <c r="F76" i="4"/>
  <c r="D31" i="4"/>
  <c r="D164" i="4"/>
  <c r="D64" i="4"/>
  <c r="D57" i="4"/>
  <c r="D77" i="4"/>
  <c r="D177" i="4"/>
  <c r="F16" i="4"/>
  <c r="F234" i="4" s="1"/>
  <c r="G237" i="4"/>
  <c r="G77" i="4"/>
  <c r="F120" i="4"/>
  <c r="F113" i="4"/>
  <c r="F48" i="4"/>
  <c r="F207" i="4"/>
  <c r="F255" i="4"/>
  <c r="F116" i="4"/>
  <c r="E162" i="4"/>
  <c r="E160" i="4"/>
  <c r="F15" i="4"/>
  <c r="F37" i="4" s="1"/>
  <c r="M544" i="1"/>
  <c r="E167" i="4"/>
  <c r="E211" i="4"/>
  <c r="E234" i="4"/>
  <c r="E177" i="4"/>
  <c r="E194" i="4"/>
  <c r="E59" i="4"/>
  <c r="E180" i="4"/>
  <c r="D117" i="4"/>
  <c r="D218" i="4"/>
  <c r="D215" i="4"/>
  <c r="D200" i="4"/>
  <c r="G137" i="4"/>
  <c r="I543" i="1"/>
  <c r="D11" i="4" s="1"/>
  <c r="D191" i="4" s="1"/>
  <c r="D30" i="4"/>
  <c r="D233" i="4"/>
  <c r="D142" i="4"/>
  <c r="D255" i="4"/>
  <c r="D78" i="4"/>
  <c r="G243" i="4"/>
  <c r="G171" i="4"/>
  <c r="G221" i="4"/>
  <c r="G220" i="4"/>
  <c r="G31" i="4"/>
  <c r="G226" i="4"/>
  <c r="G79" i="4"/>
  <c r="G138" i="4"/>
  <c r="G139" i="4" s="1"/>
  <c r="E199" i="4"/>
  <c r="E157" i="4"/>
  <c r="G155" i="4"/>
  <c r="G157" i="4"/>
  <c r="G199" i="4"/>
  <c r="F79" i="4"/>
  <c r="D174" i="4"/>
  <c r="D172" i="4"/>
  <c r="N544" i="1"/>
  <c r="D155" i="4"/>
  <c r="D199" i="4"/>
  <c r="D157" i="4"/>
  <c r="F157" i="4"/>
  <c r="F199" i="4"/>
  <c r="F238" i="4"/>
  <c r="F12" i="4"/>
  <c r="D179" i="4" l="1"/>
  <c r="D176" i="4"/>
  <c r="D79" i="4"/>
  <c r="D166" i="4"/>
  <c r="E77" i="4"/>
  <c r="E243" i="4"/>
  <c r="E218" i="4"/>
  <c r="F32" i="4"/>
  <c r="E200" i="4"/>
  <c r="E210" i="4"/>
  <c r="E137" i="4"/>
  <c r="E52" i="4"/>
  <c r="K32" i="2"/>
  <c r="D230" i="4"/>
  <c r="D147" i="4"/>
  <c r="D239" i="4"/>
  <c r="D234" i="4"/>
  <c r="D59" i="4"/>
  <c r="D180" i="4"/>
  <c r="D194" i="4"/>
  <c r="E78" i="4"/>
  <c r="F219" i="4"/>
  <c r="F55" i="4"/>
  <c r="E175" i="4"/>
  <c r="E57" i="4"/>
  <c r="E31" i="4"/>
  <c r="G32" i="4"/>
  <c r="G219" i="4"/>
  <c r="G238" i="4"/>
  <c r="G12" i="4"/>
  <c r="G55" i="4"/>
  <c r="G37" i="4"/>
  <c r="F197" i="4"/>
  <c r="E46" i="4"/>
  <c r="E60" i="4"/>
  <c r="E33" i="4"/>
  <c r="E195" i="4"/>
  <c r="E244" i="4"/>
  <c r="D195" i="4"/>
  <c r="D244" i="4"/>
  <c r="D60" i="4"/>
  <c r="D33" i="4"/>
  <c r="D46" i="4"/>
  <c r="D246" i="4"/>
  <c r="D181" i="4"/>
  <c r="D219" i="4"/>
  <c r="D238" i="4"/>
  <c r="D55" i="4"/>
  <c r="D32" i="4"/>
  <c r="D58" i="4"/>
  <c r="D193" i="4"/>
  <c r="E219" i="4"/>
  <c r="E55" i="4"/>
  <c r="E193" i="4"/>
  <c r="E58" i="4"/>
  <c r="E238" i="4"/>
  <c r="E32" i="4"/>
  <c r="F198" i="4"/>
  <c r="F156" i="4"/>
  <c r="F184" i="4"/>
  <c r="F242" i="4"/>
  <c r="F30" i="4"/>
  <c r="F35" i="4"/>
  <c r="F154" i="4" s="1"/>
  <c r="F235" i="4"/>
  <c r="G198" i="4" l="1"/>
  <c r="G156" i="4"/>
  <c r="G184" i="4"/>
  <c r="E147" i="4"/>
  <c r="E239" i="4"/>
  <c r="E230" i="4"/>
  <c r="G30" i="4"/>
  <c r="G242" i="4"/>
  <c r="G235" i="4"/>
  <c r="G35" i="4"/>
  <c r="G154" i="4" s="1"/>
</calcChain>
</file>

<file path=xl/sharedStrings.xml><?xml version="1.0" encoding="utf-8"?>
<sst xmlns="http://schemas.openxmlformats.org/spreadsheetml/2006/main" count="7810" uniqueCount="1876">
  <si>
    <t>Burgess, S.N., McCulloch, M.T., Mortimer, G.E. &amp; Ward, T.M. 2009. Structure and growth rates of the high-latitude coral: Plesiastrea versipora. Coral Reefs 28, 1005–1015.</t>
  </si>
  <si>
    <t>Subtropical Australia</t>
  </si>
  <si>
    <t>high latitude reef</t>
  </si>
  <si>
    <t>Spencer Gulf, Gulf St. Vincent, South Australia</t>
  </si>
  <si>
    <t>Australia</t>
  </si>
  <si>
    <t>3-21m</t>
  </si>
  <si>
    <t>rocky reef, patch reefs</t>
  </si>
  <si>
    <t>0.1-0.8</t>
  </si>
  <si>
    <t>X-radiography, density bands</t>
  </si>
  <si>
    <t>massive/submassive</t>
  </si>
  <si>
    <t>versipora</t>
  </si>
  <si>
    <t>Plesiastrea</t>
  </si>
  <si>
    <t>Lam K (2000) Early growth of a pioneer recruited coral Oulastrea crispata (Scleractinia, Faviidae) on PFA-concrete blocks in a marine park in Hong Kong, China. Mar Ecol Prog Ser 205: 113–121. Available: http://www.int-res.com/abstracts/meps/v205/p113-121/.</t>
  </si>
  <si>
    <t>Southeast Asia</t>
  </si>
  <si>
    <t>Hongkong, Hoi Ha Wan</t>
  </si>
  <si>
    <t>China</t>
  </si>
  <si>
    <t>7m</t>
  </si>
  <si>
    <t>Artificial patch reef</t>
  </si>
  <si>
    <t>0.72-1.56</t>
  </si>
  <si>
    <t>Direct linear measurement</t>
  </si>
  <si>
    <t>encrusting</t>
  </si>
  <si>
    <t>crispata</t>
  </si>
  <si>
    <t>Oulastrea</t>
  </si>
  <si>
    <r>
      <t xml:space="preserve">Morgan KM &amp; Kench PS 2012. Skeletal extension and calcification of reef-building corals in the central Indian Ocean. </t>
    </r>
    <r>
      <rPr>
        <i/>
        <sz val="11"/>
        <color theme="1"/>
        <rFont val="Arial Narrow"/>
        <family val="2"/>
      </rPr>
      <t xml:space="preserve">Marine Environmental Research. </t>
    </r>
    <r>
      <rPr>
        <sz val="11"/>
        <color theme="1"/>
        <rFont val="Arial Narrow"/>
        <family val="2"/>
      </rPr>
      <t>81, 78-82.</t>
    </r>
  </si>
  <si>
    <t>Central Indian Ocean</t>
  </si>
  <si>
    <t>Vabbinfaru, North Male Atoll</t>
  </si>
  <si>
    <t>Maldives</t>
  </si>
  <si>
    <t>2m</t>
  </si>
  <si>
    <t>Backreef</t>
  </si>
  <si>
    <t>1.42-1.95</t>
  </si>
  <si>
    <t>0.16-0.21</t>
  </si>
  <si>
    <t>Alizarin Red stain</t>
  </si>
  <si>
    <t>purpurea</t>
  </si>
  <si>
    <t>Leptastrea</t>
  </si>
  <si>
    <t>submassive</t>
  </si>
  <si>
    <t>Psammocora</t>
  </si>
  <si>
    <t>Edmondson, C.H. 1929. Growth of Hawaiian corals. Bishop Museum Bulletins 58, 1–38.</t>
  </si>
  <si>
    <t>Central Pacific</t>
  </si>
  <si>
    <t>Hawaii, Waikiki Reef</t>
  </si>
  <si>
    <t>USA</t>
  </si>
  <si>
    <t>n/a</t>
  </si>
  <si>
    <t>unknown</t>
  </si>
  <si>
    <t>Direct measurement</t>
  </si>
  <si>
    <t>submassive/nodular</t>
  </si>
  <si>
    <t>stellata</t>
  </si>
  <si>
    <t>Psammocora (as Stephanaria)</t>
  </si>
  <si>
    <t>Psammocoridae</t>
  </si>
  <si>
    <t>Jiménez, C. &amp; Cortés, J. 2003. Growth of seven species of scleractinian corals in an upwelling environment of the eastern Pacific (Golfo de Papagayo, Costa Rica). Bulletin of Marine Science 72, 187–198.</t>
  </si>
  <si>
    <t>Eastern Pacific</t>
  </si>
  <si>
    <t>seasonal upwelling</t>
  </si>
  <si>
    <t>Bahia Culebra</t>
  </si>
  <si>
    <t>Costa Rica</t>
  </si>
  <si>
    <t>patch reef</t>
  </si>
  <si>
    <t>0.6-2.16</t>
  </si>
  <si>
    <t>error is SD</t>
  </si>
  <si>
    <t>Roberts LG, Harriott VJ (2003) Can environmental records be extracted from coral skeletons from Moreton Bay, Australia, a subtropical, turbid environment? Coral Reefs 22: 517–522. Available: http://link.springer.com/10.1007/s00338-003-0337-y. Accessed 24 November 2014.</t>
  </si>
  <si>
    <t>subtropical reef, inshore site</t>
  </si>
  <si>
    <t>Wellington Point, Moreton Bay</t>
  </si>
  <si>
    <t>0.19-0.23</t>
  </si>
  <si>
    <t>X-radiography</t>
  </si>
  <si>
    <t>profundacella (as superficialis)</t>
  </si>
  <si>
    <t>subtropical reef, mid-Bay site</t>
  </si>
  <si>
    <t>Peel Island, Moreton Bay</t>
  </si>
  <si>
    <t>0.2-0.3</t>
  </si>
  <si>
    <t>Knutson, D.W., Buddemeier, R.W. &amp; Smith, S.V. 1972. Coral chronometers: seasonal growth bands in reef corals. Science 177, 270–272.</t>
  </si>
  <si>
    <t>Eniwetok Atoll</t>
  </si>
  <si>
    <t>Marshall Islands</t>
  </si>
  <si>
    <t>2-5m</t>
  </si>
  <si>
    <t>reef flat</t>
  </si>
  <si>
    <t>na</t>
  </si>
  <si>
    <t>Radioactivity/density bands</t>
  </si>
  <si>
    <t>haimiana (as tongianensis)</t>
  </si>
  <si>
    <t>Buddemeier R, Maragos J, Knutson D (1974) Radiographic studies of reef coral exoskeletons: rates and patterns of coral growth. J Exp … 14. Available: http://www.sciencedirect.com/science/article/pii/0022098174900240. Accessed 9 December 2014.</t>
  </si>
  <si>
    <t>7-30m</t>
  </si>
  <si>
    <t>fringing reef</t>
  </si>
  <si>
    <t>Guzmán H, Cortés J (1989) Growth rates of eight species of scleractinian corals in the eastern Pacific (Costa Rica). Bull Mar Sci 44: 1186–1194. Available: http://www.ingentaconnect.com/content/umrsmas/bullmar/1989/00000044/00000003/art00010. Accessed 9 December 2014.</t>
  </si>
  <si>
    <t>Cano Island</t>
  </si>
  <si>
    <t>2-3m</t>
  </si>
  <si>
    <t>0.41-0.94</t>
  </si>
  <si>
    <t>Psammacora</t>
  </si>
  <si>
    <t>various</t>
  </si>
  <si>
    <t>Poritidae</t>
  </si>
  <si>
    <t>massive</t>
  </si>
  <si>
    <t>Porites</t>
  </si>
  <si>
    <t>Watanabe T, Gagan MK, Correge T, Scott-Gagan H, Cowley J, Hantoro WS. 2003. Oxygen isotope systematics in Diploastrea heliopora: New coral archive of tropical paleoclimate. Geochimica et Cosmochimica Acta 67: 1349-1358.</t>
  </si>
  <si>
    <t>Western Pacific</t>
  </si>
  <si>
    <t>New Caledonia</t>
  </si>
  <si>
    <t>3m</t>
  </si>
  <si>
    <t>Lagoon</t>
  </si>
  <si>
    <t>0.62-1.34</t>
  </si>
  <si>
    <t>spp.</t>
  </si>
  <si>
    <r>
      <t xml:space="preserve">Grove CA, Nagtegaal R, Zinke J, Sceufen T, Koster B, Kasper S, McCulloch MT, van den Bergh G, Brummer G Jan A 2010. River runoff reconstructions from novel spectral luminescence scanning of massive coral skeletons. </t>
    </r>
    <r>
      <rPr>
        <i/>
        <sz val="11"/>
        <color theme="1"/>
        <rFont val="Arial Narrow"/>
        <family val="2"/>
      </rPr>
      <t>Coral Reefs. 29, 579-591.</t>
    </r>
  </si>
  <si>
    <t>Western Indian Ocean</t>
  </si>
  <si>
    <t>Madagascar</t>
  </si>
  <si>
    <t>4-6m</t>
  </si>
  <si>
    <t>Sheltered forereef</t>
  </si>
  <si>
    <t>UV luminesence</t>
  </si>
  <si>
    <t>Seasonal river plume</t>
  </si>
  <si>
    <t>Antongil Bay</t>
  </si>
  <si>
    <t>Tudhope, A.W., Allison, N., Le Tissier, M.D.A. &amp; Scoffin, T.P. 1992. Growth characteristics and susceptibility to bleaching in massive Porites corals, South Thailand. Proceedings of the Seventh International Coral Reef Symposium 1, 64–69.</t>
  </si>
  <si>
    <t>turbid</t>
  </si>
  <si>
    <t>Porites Bay reef, Phuket</t>
  </si>
  <si>
    <t>Thailand</t>
  </si>
  <si>
    <t>1-2m</t>
  </si>
  <si>
    <t>1.8-2.8</t>
  </si>
  <si>
    <t>unbleached colonies, growth before bleaching</t>
  </si>
  <si>
    <t>Measurement of luminescent bands, X-radiography</t>
  </si>
  <si>
    <t>Tanzil, J.T.I., Brown, B.E., Dunne, R.P., Lee, J.N., Kaandorp, J.A. &amp; Todd, P.A. 2013. Regional decline in growth rates of massive Porites corals in Southeast Asia. Global Change Biology 19, 3011–3023.</t>
  </si>
  <si>
    <t>15 reefs around Thai-Malay Peninsula</t>
  </si>
  <si>
    <t>Thailand &amp; Malaysia</t>
  </si>
  <si>
    <t>Maier, C., Felis, T., Pätzold, J. &amp; Bak, R.P.M. 2004. Effect of skeletal growth and lack of species effects in the skeletal oxygen isotope climate signal within the coral genus Porites. Marine Geology 207, 193–208.</t>
  </si>
  <si>
    <t>Taka Bone Rate</t>
  </si>
  <si>
    <t>Indonesia</t>
  </si>
  <si>
    <t>6m</t>
  </si>
  <si>
    <t>reef slope</t>
  </si>
  <si>
    <t>0.45-1.8</t>
  </si>
  <si>
    <t>Distance d18O-bands</t>
  </si>
  <si>
    <t>Shi, Q., Zhao, M., Zhang, Q., Yu, K., Chen, T., Li, S., &amp; Wang, H. (2008). Estimate of carbonate production by scleractinian corals at Luhuitou fringing reef, Sanya, China. Chinese Science Bulletin, 54(4), 696–705. doi:10.1007/s11434-008-0533-9</t>
  </si>
  <si>
    <t>Luhuitou Reef, Sanya Bay</t>
  </si>
  <si>
    <t>3.5-6.5m</t>
  </si>
  <si>
    <t>Fringing reef</t>
  </si>
  <si>
    <t>0.87-2.66</t>
  </si>
  <si>
    <t>X-radiography photography/Archimedes bath</t>
  </si>
  <si>
    <t>Alor</t>
  </si>
  <si>
    <t>1.68-2.32</t>
  </si>
  <si>
    <t>Al-Rousan, S. &amp; Felis, T. 2013. Long-term variability in the stable carbon isotopic composition of Porites corals at the northern Gulf of Aqaba, Red Sea. Palaeogeography, Palaeoclimatology, Palaeoecology 381, 1–14.</t>
  </si>
  <si>
    <t>Red Sea</t>
  </si>
  <si>
    <t>cores along northern Gulf of Aqaba coast</t>
  </si>
  <si>
    <t>Israel&amp;Jordan</t>
  </si>
  <si>
    <t>1-42m</t>
  </si>
  <si>
    <t>0.19-2.0</t>
  </si>
  <si>
    <t>Lough, J.M. &amp; Barnes, D.J. 2000. Environmental controls on growth of the massive coral Porites. Journal of Experimental Marine Biology and Ecology 245, 225–243.</t>
  </si>
  <si>
    <t>different reefs across GBR</t>
  </si>
  <si>
    <t>3-5m</t>
  </si>
  <si>
    <t>0.53-2.27</t>
  </si>
  <si>
    <t>across whole GBR</t>
  </si>
  <si>
    <t>D’Olivo, J.P., McCulloch, M.T. &amp; Judd, K. 2013. Long-term records of coral calcification across the central Great Barrier Reef: assessing the impacts of river runoff and climate change. Coral Reefs 32, 999–1012.</t>
  </si>
  <si>
    <t>oceanic</t>
  </si>
  <si>
    <t>Myrimidon Reef</t>
  </si>
  <si>
    <t>3-11m</t>
  </si>
  <si>
    <t>outer-shelf reefs</t>
  </si>
  <si>
    <t>X-radiography, Archimedes bath</t>
  </si>
  <si>
    <t>rare flood plumes</t>
  </si>
  <si>
    <t>Davies Reef, Wheeler Reef, Rib Reef</t>
  </si>
  <si>
    <t>1.22-1.41</t>
  </si>
  <si>
    <t>1.26-1.59</t>
  </si>
  <si>
    <t>mid-shelf reefs</t>
  </si>
  <si>
    <t>regular</t>
  </si>
  <si>
    <t>Magnetic Island, Havannah Island, Pandora Reef</t>
  </si>
  <si>
    <t>0.99-1.23</t>
  </si>
  <si>
    <t>1.3-1.66</t>
  </si>
  <si>
    <t>inner-shelf reefs</t>
  </si>
  <si>
    <t>Lough, J. ., &amp; Barnes, D. . (1992). Comparisons of skeletal density variations in Porites from the central Great Barrier Reef. Journal of Experimental Marine Biology and Ecology, 155(1), 1–25. doi:10.1016/0022-0981(92)90024-7</t>
  </si>
  <si>
    <t>Myrmidon Reef</t>
  </si>
  <si>
    <t>Lough, J. ., &amp; Barnes, D. . (1992). Comparisons of skeletal density variations in Porites from the central Great Barrier Reef. Journal of Experimental Marine Biology and Ecology, 155(1), 1–25. doi:10.1016/0022-0981(92)90024-6</t>
  </si>
  <si>
    <t>Rib Reef</t>
  </si>
  <si>
    <t>Lough, J. ., &amp; Barnes, D. . (1992). Comparisons of skeletal density variations in Porites from the central Great Barrier Reef. Journal of Experimental Marine Biology and Ecology, 155(1), 1–25. doi:10.1016/0022-0981(92)90024-5</t>
  </si>
  <si>
    <t>Pandora Reef</t>
  </si>
  <si>
    <t>De’ath, G., Lough, J., &amp; Fabricius, K. (2009). Declining coral calcification on the Great Barrier Reef. Science, (November), 116–120. Retrieved from http://www.sciencemag.org/content/323/5910/116.short</t>
  </si>
  <si>
    <t>Northern GBR</t>
  </si>
  <si>
    <t>varies</t>
  </si>
  <si>
    <t>1.24-1.22</t>
  </si>
  <si>
    <t>Cooper, T. F., De’Ath, G., Fabricius, K. E., &amp; Lough, J. M. (2008). Declining coral calcification in massive Porites in two nearshore regions of the northern Great Barrier Reef. Global Change Biology, 14(3), 529–538. doi:10.1111/j.1365-2486.2007.01520.x</t>
  </si>
  <si>
    <t>leeward</t>
  </si>
  <si>
    <t>Hay and Hannah islands</t>
  </si>
  <si>
    <t>1.0-3.0m</t>
  </si>
  <si>
    <t>Cantin, N. E., &amp; Lough, J. M. (2014). Surviving coral bleaching events: porites growth anomalies on the Great Barrier Reef. PloS One, 9(2), e88720. doi:10.1371/journal.pone.0088722</t>
  </si>
  <si>
    <t>4-7m</t>
  </si>
  <si>
    <t>Leeward reef</t>
  </si>
  <si>
    <t>Cantin, N. E., &amp; Lough, J. M. (2014). Surviving coral bleaching events: porites growth anomalies on the Great Barrier Reef. PloS One, 9(2), e88720. doi:10.1371/journal.pone.0088721</t>
  </si>
  <si>
    <t>Cantin, N. E., &amp; Lough, J. M. (2014). Surviving coral bleaching events: porites growth anomalies on the Great Barrier Reef. PloS One, 9(2), e88720. doi:10.1371/journal.pone.0088720</t>
  </si>
  <si>
    <t>Nelly Bay</t>
  </si>
  <si>
    <t>Cabral-Tena, R., Reyes-Bonilla, H., Lluch-Cota, S., Paz-García, D., Calderón-Aguilera, L., Norzagaray-López, O., &amp; Balart, E. (2013). Different calcification rates in males and females of the coral Porites panamensis in the Gulf of California. Marine Ecology Progress Series, 476, 1–8. doi:10.3354/meps10269</t>
  </si>
  <si>
    <t>Gulf of California</t>
  </si>
  <si>
    <t>Mexico</t>
  </si>
  <si>
    <t>3-7m</t>
  </si>
  <si>
    <t>0.875-1.075</t>
  </si>
  <si>
    <t>0.367-1.267</t>
  </si>
  <si>
    <t>panamensis</t>
  </si>
  <si>
    <t>Alibert, C. &amp; McCulloch, M.T. 1997. Strontium/calcium ratios in modern Porites corals from the Great Barrier Reef as a proxy for sea surface temperature: calibration of the thermometer and monitoring of ENSO. Paleoceanography 12, 345–363.</t>
  </si>
  <si>
    <t>Davies Reef</t>
  </si>
  <si>
    <t>3.6m</t>
  </si>
  <si>
    <t>mayeri</t>
  </si>
  <si>
    <t>Osborne, M.C., Dunbar, R.B., Mucciarone, D.A., Sanchez-Cabeza, J.-A. &amp; Druffel, E. 2013. Regional calibration of coral-based climate reconstructions from Palau, West Pacific Warm Pool (WPWP). Palaeogeography, Palaeoclimatology, Palaeoecology 386, 308–320.</t>
  </si>
  <si>
    <t>Ulong Channel, Ngaragabel, Ngeralang, Rock Islands</t>
  </si>
  <si>
    <t>Palau</t>
  </si>
  <si>
    <t>fringing reef/lagoon</t>
  </si>
  <si>
    <t>1.36-2.05</t>
  </si>
  <si>
    <t>lutea</t>
  </si>
  <si>
    <t>1.2-2.2</t>
  </si>
  <si>
    <t>Müller, A., Gagan, M.K. &amp; Lough, J.M. 2004. Effect of early marine diagenesis on coral reconstructions of surface-ocean 13C/12C and carbonate saturation state. Global Biogeochemical Cycles 18, GB1033.</t>
  </si>
  <si>
    <t>Western Australia</t>
  </si>
  <si>
    <t>South Muiron Island, Ningaloo Reef</t>
  </si>
  <si>
    <t>Tantabiddi Lagoon, Ningaloo Reef</t>
  </si>
  <si>
    <t>1m</t>
  </si>
  <si>
    <t>lagoon</t>
  </si>
  <si>
    <t>only present values</t>
  </si>
  <si>
    <t>Shiraho</t>
  </si>
  <si>
    <t>Japan</t>
  </si>
  <si>
    <t>1.45-1.7</t>
  </si>
  <si>
    <t>0.149-0.468</t>
  </si>
  <si>
    <t>Zhao, M.X., Yu, K.F., Zhang, Q.M., Shi, Q. &amp; Roff, G. 2014. Age structure of massive Porites lutea corals at Luhuitou fringing reef (northern South China Sea) indicates recovery following severe anthropogenic disturbance. Coral Reefs 33, 39–44.</t>
  </si>
  <si>
    <t>Luhuitou Reef</t>
  </si>
  <si>
    <t>0-4m</t>
  </si>
  <si>
    <t>0.9-1.63</t>
  </si>
  <si>
    <t>mainly young colonies</t>
  </si>
  <si>
    <t>Tanzil, J.T.I., Brown, B.E., Tudhope, A.W. &amp; Dunne, R.P. 2009. Decline in skeletal growth of the coral Porites lutea from the Andaman Sea, South Thailand between 1984 and 2005. Coral Reefs 28, 519–528.</t>
  </si>
  <si>
    <t>8 reefs Ko Phuket</t>
  </si>
  <si>
    <t>reef front</t>
  </si>
  <si>
    <t>8 sites</t>
  </si>
  <si>
    <t>1.531-2.159</t>
  </si>
  <si>
    <t>2003-2005 at sites visited by Scoffin et al. 1984-1986</t>
  </si>
  <si>
    <t>Scoffin, T.P., Tudhope, A.W., Brown, B.E., Chansang, H. &amp; Cheeney, R.F. 1992. Patterns and possible environmental controls of skeletogenesis of Porites lutea, South Thailand. Coral Reefs 11, 1–11.</t>
  </si>
  <si>
    <t xml:space="preserve"> gradient in hydraulic energy and turbidity</t>
  </si>
  <si>
    <t>11 reefs Kho Phuket</t>
  </si>
  <si>
    <t>107 cores</t>
  </si>
  <si>
    <t>0.95-3.45</t>
  </si>
  <si>
    <t>Fluorescent banding, Archimedes bath</t>
  </si>
  <si>
    <t>Charuchinda, M. &amp; Chansang, H. 1985. Skeleton extension and banding formation of Porites lutea of fringing reefs along the south and west coasts of Phuket Island (Thailand). Proceedings of the Fifth International Coral Reef Symposium 6, 83–87.</t>
  </si>
  <si>
    <t>Koh Phuket, 6 sites</t>
  </si>
  <si>
    <t>1-7m</t>
  </si>
  <si>
    <t>1.11-2.43</t>
  </si>
  <si>
    <t>Allison, N., Tudhope, A.W. &amp; Fallick, A.E. 1996. Factors influencing the stable carbon and oxygen isotopic composition of Porites lutea coral skeletons from Phuket, South Thailand. Coral Reefs 15, 43–57.</t>
  </si>
  <si>
    <t>monsoonal</t>
  </si>
  <si>
    <t>Porites Bay reef, Koh Phuket</t>
  </si>
  <si>
    <t>1-3m</t>
  </si>
  <si>
    <t>0.65-1.15</t>
  </si>
  <si>
    <t>0.6-1.9</t>
  </si>
  <si>
    <t>only non-bleached corals</t>
  </si>
  <si>
    <t>Density bands</t>
  </si>
  <si>
    <t>Crabbe, M. J. &amp; Smith, D. J. (2005) Sediment impacts on growth rates of Acropora and Porites corals
from fringing reefs of Sulawesi, Indonesia. Coral Reefs 24:437-441.</t>
  </si>
  <si>
    <t>partly turbid</t>
  </si>
  <si>
    <t>Kaledupa, Hoga</t>
  </si>
  <si>
    <t>10m</t>
  </si>
  <si>
    <t>Direct radial measurement</t>
  </si>
  <si>
    <t>Chansang, H., Phongsuwan, N., Boonyanate, P. (1992) Proceedings of the 7th International Coral Reef Symposium, Guam, Vol 1</t>
  </si>
  <si>
    <t>sedimentation stress</t>
  </si>
  <si>
    <t>Patong, Nai Yang, Koh Phuket</t>
  </si>
  <si>
    <t>Chen, T., Li, S., Yu, K., Zheng, Z., Wang, L., &amp; Chen, T. (2013). Increasing temperature anomalies reduce coral growth in the Weizhou Island, northern South China Sea. Estuarine, Coastal and Shelf Science, 130, 121–126. doi:10.1016/j.ecss.2013.05.009</t>
  </si>
  <si>
    <t>Weizhou Island</t>
  </si>
  <si>
    <t>0.60-0.66</t>
  </si>
  <si>
    <t>Bessat, F., &amp; Buigues, D. (2001). Two centuries of variation in coral growth in a massive Porites colony from Moorea (French Polynesia): a response of ocean-atmosphere variability from south. Palaeogeography, Palaeoclimatology, …, 175, 381–392. Retrieved from http://www.sciencedirect.com/science/article/pii/S0031018201003819</t>
  </si>
  <si>
    <t>South Pacific</t>
  </si>
  <si>
    <t>Atiha Bay, Moorea</t>
  </si>
  <si>
    <t>French Polynesia</t>
  </si>
  <si>
    <t>5m</t>
  </si>
  <si>
    <t>0.976-1.329</t>
  </si>
  <si>
    <t>0.7676-1.6887</t>
  </si>
  <si>
    <t>1940-1990</t>
  </si>
  <si>
    <t>Rosenfeld, M., Yam, R., Shemesh, A. &amp; Loya, Y. 2003. Implication of water depth on stable isotope composition and skeletal density banding patterns in a Porites lutea colony: results from a long-term translocation experiment. Coral Reefs 22, 337–345.</t>
  </si>
  <si>
    <t>Eilat, Guld of Aqaba</t>
  </si>
  <si>
    <t>Israel</t>
  </si>
  <si>
    <t>fringin reef</t>
  </si>
  <si>
    <t>only growth before transplantation</t>
  </si>
  <si>
    <t>Heiss, G.A. 1996. Annual band width variation in Porites sp. from Aqaba, Gulf of Aqaba, Red Sea. Bulletin of Marine Science 59, 393–403.</t>
  </si>
  <si>
    <t>Aqaba, south of MarineScience Station</t>
  </si>
  <si>
    <t>Jordan</t>
  </si>
  <si>
    <t>reef crest</t>
  </si>
  <si>
    <t>Al-Rousan, S., Al-Moghrabi, S., Patzold, J. &amp; Wefer, G. 2002. Environmental and biological effects on the stable oxygen isotope records of corals in the northern Gulf of Aqaba, Red Sea. Marine Ecology Progress Series 239, 301–310.</t>
  </si>
  <si>
    <t>Aqaba</t>
  </si>
  <si>
    <t>19m</t>
  </si>
  <si>
    <t>1.0-1.75</t>
  </si>
  <si>
    <t>1.2-2.1</t>
  </si>
  <si>
    <t>2.4-7m</t>
  </si>
  <si>
    <t>1.2-1.5</t>
  </si>
  <si>
    <t>Hudson, J.H. 1985. Long-term growth rates of Porites lutea before and after nuclear testing: Enewetak Atoll, Marshall Islands. Proceedings of the Fifth International Coral Reef Symposium 6, 179–185.</t>
  </si>
  <si>
    <t>Enetewake Atoll</t>
  </si>
  <si>
    <t>lagoon rim</t>
  </si>
  <si>
    <t>0.9-1.2</t>
  </si>
  <si>
    <t>Cobb, K.M., Charles, C.D. &amp; Hunter, D.E. 2001. A central tropical Pacific coral demonstrates Pacific, Indian, and Atlantic decadal climate connections. Geophysical Research Letters 28, 2209–2212.</t>
  </si>
  <si>
    <t>Palmyra Island</t>
  </si>
  <si>
    <t>Polynesia</t>
  </si>
  <si>
    <t>Jokiel, P., &amp; Tyler, W. (1992). Distribution of stony corals in Johnston Atoll lagoon. In Proc. Seventh Int. Coral Reef Symp (Vol. 2)</t>
  </si>
  <si>
    <t>Johnston Atoll</t>
  </si>
  <si>
    <t>0.5-1.0</t>
  </si>
  <si>
    <t>Highsmith R (1979) Coral growth rates and environmental control of density banding. J Exp Mar Bio Ecol 37: 105–125. Available: http://www.sciencedirect.com/science/article/pii/0022098179900893. Accessed 9 December 2014.</t>
  </si>
  <si>
    <t>Enewetak Atoll</t>
  </si>
  <si>
    <t>0-30m</t>
  </si>
  <si>
    <t>1.26-1.50</t>
  </si>
  <si>
    <t>0.35-1.18</t>
  </si>
  <si>
    <t>Clark S &amp; Edwards A J (1995) Coral transplantation as an aid to reef rehabilitation: evaluation of a case study in the Maldive Islands. Coral Reefs 14: 201-213</t>
  </si>
  <si>
    <t>Galu Falhu</t>
  </si>
  <si>
    <t>0.8-1.5m</t>
  </si>
  <si>
    <t>Reef flat</t>
  </si>
  <si>
    <t>0.07-3.59</t>
  </si>
  <si>
    <t>transplantation experiment, but growth rates constant</t>
  </si>
  <si>
    <t>Edinger, E.N., Limmon, G.V., Jompa, J., Widjatmoko, W., Heikoop, J.M. &amp; Risk, M.J. 2000. Normal coral growth rates on dying reefs: are coral growth rates good indicators of reef health? Marine Pollution Bulletin 40, 404–425.</t>
  </si>
  <si>
    <t>Java Sea, Ambon, South Sulawesi</t>
  </si>
  <si>
    <t>lobata</t>
  </si>
  <si>
    <t>0.52-1.00</t>
  </si>
  <si>
    <t>lobota</t>
  </si>
  <si>
    <t>Pätzold, J. 1984. Growth rhythms recorded in stable isotopes and density bands in the reef coral Porites lobata (Cebu, Philippines). Coral Reefs 3, 87–90.</t>
  </si>
  <si>
    <t>Hilutangan Channel, Mactan Island</t>
  </si>
  <si>
    <t>Philippines</t>
  </si>
  <si>
    <t>only 1 core</t>
  </si>
  <si>
    <t>Fallon, S.J., McCulloch, M.T., van Woesik, R. &amp; Sinclair, D.J. 1999. Corals at their latitudinal limits: laser ablation trace element systematics in Porites from Shirigai Bay, Japan. Earth and Planetary Science Letters 172, 221–238.</t>
  </si>
  <si>
    <t>high latitude, upwelling</t>
  </si>
  <si>
    <t>Shirigai Bay, Shikoku Island</t>
  </si>
  <si>
    <t>Rocky reef</t>
  </si>
  <si>
    <t>Smith, L. W., Barshis, D., &amp; Birkeland, C. (2007). Phenotypic plasticity for skeletal growth, density and calcification of Porites lobata in response to habitat type. Coral Reefs, 26(3), 559–567. doi:10.1007/s00338-007-0216-z</t>
  </si>
  <si>
    <t>Ofu/Olsega</t>
  </si>
  <si>
    <t>American Samoa</t>
  </si>
  <si>
    <t>Forereef</t>
  </si>
  <si>
    <t>height</t>
  </si>
  <si>
    <t>Direct measure of external growth bands</t>
  </si>
  <si>
    <t>expansion</t>
  </si>
  <si>
    <t>thickness</t>
  </si>
  <si>
    <t>Klein R, Loya Y (1991) Skeletal growth and density patterns of two Porites corals from the Gulf of Eilat, Red Sea. Mar Ecol Prog Ser Oldend 77: 253–259. Available: http://www.researchgate.net/publication/250215112_Skeletal_growth_and_density_patterns_of_two_Pontes_corals_from_the_Gulf_of_Eilat_Red_Sea/file/5046352b46e7acd083.pdf. Accessed 9 December 2014.</t>
  </si>
  <si>
    <t>0.8-0.9</t>
  </si>
  <si>
    <t>Barnes, D.J. &amp; Lough, J.M. 1989. The nature of skeletal density banding in scleractinian corals: fine banding and seasonal patterns. Journal of Experimental Marine Biology and Ecology 126, 119–134.</t>
  </si>
  <si>
    <t>0.76-1.88</t>
  </si>
  <si>
    <t>0.65-1.46</t>
  </si>
  <si>
    <t>Grigg, R.W. 1982. Darwin Point: a threshold for atoll formation. Coral Reefs 1, 29–34.</t>
  </si>
  <si>
    <t>Southern Islands of Hawaii chain</t>
  </si>
  <si>
    <t>1.18-1.68</t>
  </si>
  <si>
    <t>only southern point of island chain</t>
  </si>
  <si>
    <t>Grigg, R.W. 2006. Depth limit for reef building corals in the Au’au Channel, SE Hawaii. Coral Reefs 25, 77–84.</t>
  </si>
  <si>
    <t>Hawaii, Lahaina, Maui</t>
  </si>
  <si>
    <t>12m</t>
  </si>
  <si>
    <t>Grigg, R.W. 1998. Holocene coral reef accretion in Hawaii: a function of wave exposure and sea level history. Coral Reefs 17, 263–272</t>
  </si>
  <si>
    <t>Hawaii, Sunset Beach</t>
  </si>
  <si>
    <t>Hawaii, Mamala Bay</t>
  </si>
  <si>
    <t>Hawaii, Hanauma Bay</t>
  </si>
  <si>
    <t>Hawaii, Kaneohe Bay</t>
  </si>
  <si>
    <t>Hawaii, Coconut Island</t>
  </si>
  <si>
    <t>0.4-1.2</t>
  </si>
  <si>
    <t>0.15-3.3</t>
  </si>
  <si>
    <t>1.25-1.37</t>
  </si>
  <si>
    <t>1.28-1.67</t>
  </si>
  <si>
    <t>Alizarin Red stain/Archimedes bath</t>
  </si>
  <si>
    <t>0.5-2.5</t>
  </si>
  <si>
    <t>evermanni</t>
  </si>
  <si>
    <t>0.34-1.76</t>
  </si>
  <si>
    <t>compressa</t>
  </si>
  <si>
    <t>Mitsuguchi, T., Matsumoto, E. &amp; Uchida, T. 2003. Mg/Ca and Sr/Ca ratios of Porites coral skeleton: evaluation of the effect of skeletal growth rate. Coral Reefs 22, 381–388.</t>
  </si>
  <si>
    <t>Fukai, Ishigaki Island</t>
  </si>
  <si>
    <t>1.5m</t>
  </si>
  <si>
    <t>australiensis</t>
  </si>
  <si>
    <t>columnar</t>
  </si>
  <si>
    <t>Eilat</t>
  </si>
  <si>
    <t>15m</t>
  </si>
  <si>
    <t>0.7-1.3</t>
  </si>
  <si>
    <t>massive/nodular</t>
  </si>
  <si>
    <t>nodifera</t>
  </si>
  <si>
    <t>Anderson, K. D., Heron, S. F., Pratchett, M. S. (2015) Species-specific declines in the linear extension of branching corals
at a subtropical reef, Lord Howe Island. Coral Reefs 34:479-490</t>
  </si>
  <si>
    <t>subtropical reef</t>
  </si>
  <si>
    <t>Lord Howe Island</t>
  </si>
  <si>
    <t>not mentioned</t>
  </si>
  <si>
    <t>0.991-2.129</t>
  </si>
  <si>
    <t>Alizarin Red Stain</t>
  </si>
  <si>
    <t>massive/columnar</t>
  </si>
  <si>
    <t>heronensis</t>
  </si>
  <si>
    <t>Harriott, V. J. (1999). Coral growth in subtropical eastern Australia. Coral Reefs, 18(3), 281–291. doi:10.1007/s003380050195</t>
  </si>
  <si>
    <t>subtropical NSW</t>
  </si>
  <si>
    <t>Lord Howe</t>
  </si>
  <si>
    <t>0.43-4.34</t>
  </si>
  <si>
    <t>columnar/plates</t>
  </si>
  <si>
    <t>lichen</t>
  </si>
  <si>
    <t>columnaris</t>
  </si>
  <si>
    <t>branching</t>
  </si>
  <si>
    <t>Custodio III. HM, Yap HT (1997) Skeletal extension rates of Porites cylindrica and Porites (Synaraea) rus after transplantation to two depths. Coral Reefs 16: 267–268. Available: http://link.springer.com/10.1007/s003380050083.</t>
  </si>
  <si>
    <t>Bolinao</t>
  </si>
  <si>
    <t>rus</t>
  </si>
  <si>
    <t>0.09-4.84</t>
  </si>
  <si>
    <t>nigrescens</t>
  </si>
  <si>
    <t>Anthony, K. R. N., Connolly, S. R., &amp; Willis, B. L. (2002). Comparative analysis of energy allocation to tissue and skeletal growth in corals. Limnology and Oceanography, 47(5), 1417–1429. doi:10.4319/lo.2002.47.5.1418</t>
  </si>
  <si>
    <t>1.389-1.479</t>
  </si>
  <si>
    <t>Energetics modelling</t>
  </si>
  <si>
    <t>cylindrica</t>
  </si>
  <si>
    <t>Neudecker S (1981) Growth and survival of scleractinian corals exposed to thermal effluents at Guam. Available: http://agris.fao.org/agris-search/search.do?recordID=XB8311021. Accessed 9 December 2014.</t>
  </si>
  <si>
    <t>Guam</t>
  </si>
  <si>
    <t>1.26-1.76</t>
  </si>
  <si>
    <t>0.48-1.00</t>
  </si>
  <si>
    <t>Domart-Coulon, I.J., Traylor-Knowles, N., Peters, E., Elbert, D., Downs, C.A., Price, K., Stubbs, J., McLaughlin, S., Cox, E. &amp; Aeby, G. 2006. Comprehensive characterization of skeletal tissue growth anomalies of the finger coral Porites compressa. Coral Reefs 25, 531–543.</t>
  </si>
  <si>
    <t>Cox E (1986) The effects of a selective corallivore on growth rates and competition for space between two species of Hawaiian corals. J Exp Mar Bio Ecol 101: 161–174. Available: http://www.sciencedirect.com/science/article/pii/002209818690047X. Accessed 10 December 2014.</t>
  </si>
  <si>
    <t>density average of corals in the same family</t>
  </si>
  <si>
    <t>Goniopora</t>
  </si>
  <si>
    <t>Pocilloporidae</t>
  </si>
  <si>
    <t>Stylophora</t>
  </si>
  <si>
    <t>pistillata</t>
  </si>
  <si>
    <t>Ebeid, M. L., Hassan, M. H., Geneid, Y. A. (2009) Response to increased sediment load by three coral species from the Gulf of Suez (Red Sea). Journal of Fisheries and Aquatic Science 4(5):238-245</t>
  </si>
  <si>
    <t>Beer Odeeb (Northern Gulf of Suez)</t>
  </si>
  <si>
    <t>Egypt</t>
  </si>
  <si>
    <t>2-6m</t>
  </si>
  <si>
    <t>Kotb, M. M. A. (2001) Growth rates of three reef-building coral species in the Northern Red Sea Egypt, Egyptian Journal of Aquatic Biology and Fisheries, 5(4):165-185</t>
  </si>
  <si>
    <t>intermediate exposure</t>
  </si>
  <si>
    <t>Na'ama Bay</t>
  </si>
  <si>
    <t>Alizarine Red stain</t>
  </si>
  <si>
    <t>Liberman, T., Genin, A. &amp; Loya, Y. 1995. Effects on growth and reproduction of the coral Stylophora pistillata by the mutualistic damselfish Dascyllus marginatus. Marine Biology 121, 741–746.</t>
  </si>
  <si>
    <t>Gulf of Eilat, Marine Laboratory Eilat</t>
  </si>
  <si>
    <t>7.5-14m</t>
  </si>
  <si>
    <t>with and without Damselfish</t>
  </si>
  <si>
    <t>Seriatopora</t>
  </si>
  <si>
    <t>1.949-1.953</t>
  </si>
  <si>
    <t>hystrix</t>
  </si>
  <si>
    <t>Stimson J (1985) The effect of shading by the table coral Acropora hyacinthus on understory corals. Ecology, 66(1), 40-53.</t>
  </si>
  <si>
    <t>Enewetak Atoll, Biken Island</t>
  </si>
  <si>
    <t>Diameter from photographs in permanent quadrats</t>
  </si>
  <si>
    <t>Pocillopora</t>
  </si>
  <si>
    <t>Hawaii</t>
  </si>
  <si>
    <t>2.8-4.2</t>
  </si>
  <si>
    <t>submassive/branching</t>
  </si>
  <si>
    <t>eydouxi</t>
  </si>
  <si>
    <t>2.9-6.8</t>
  </si>
  <si>
    <t>meandrina</t>
  </si>
  <si>
    <t>2.1-3.9</t>
  </si>
  <si>
    <t>Saudi Arabia</t>
  </si>
  <si>
    <t>Archimedes bath, sealed with parafin wax</t>
  </si>
  <si>
    <t>verrucosa</t>
  </si>
  <si>
    <t>Direct crest-crest measurement</t>
  </si>
  <si>
    <t>0.61-5.95</t>
  </si>
  <si>
    <t>0.9-7.25</t>
  </si>
  <si>
    <t>1.8-5.6</t>
  </si>
  <si>
    <t>0.5-3.6</t>
  </si>
  <si>
    <t>1.7-3.1</t>
  </si>
  <si>
    <t>0.47-2.16</t>
  </si>
  <si>
    <t>ligulata</t>
  </si>
  <si>
    <t>2.0-4.4</t>
  </si>
  <si>
    <t>inflata</t>
  </si>
  <si>
    <t>2.9-6.7</t>
  </si>
  <si>
    <t>elegans</t>
  </si>
  <si>
    <r>
      <t xml:space="preserve">Manzello, D. P. (2010). Coral growth with thermal stress and ocean acidification: lessons from the eastern tropical Pacific. </t>
    </r>
    <r>
      <rPr>
        <i/>
        <sz val="11"/>
        <color theme="1"/>
        <rFont val="Arial Narrow"/>
        <family val="2"/>
      </rPr>
      <t>Coral Reefs</t>
    </r>
    <r>
      <rPr>
        <sz val="11"/>
        <color theme="1"/>
        <rFont val="Arial Narrow"/>
        <family val="2"/>
      </rPr>
      <t xml:space="preserve">, </t>
    </r>
    <r>
      <rPr>
        <i/>
        <sz val="11"/>
        <color theme="1"/>
        <rFont val="Arial Narrow"/>
        <family val="2"/>
      </rPr>
      <t>29</t>
    </r>
    <r>
      <rPr>
        <sz val="11"/>
        <color theme="1"/>
        <rFont val="Arial Narrow"/>
        <family val="2"/>
      </rPr>
      <t>(3), 749–758. doi:10.1007/s00338-010-0623-4</t>
    </r>
  </si>
  <si>
    <t>remote</t>
  </si>
  <si>
    <t>Uva reef, Gulf of Chiriqui</t>
  </si>
  <si>
    <t>Panama</t>
  </si>
  <si>
    <t>15 colonies, 168 branches</t>
  </si>
  <si>
    <t>2.44-3.11</t>
  </si>
  <si>
    <t>damicornis (in study as cespitosa)</t>
  </si>
  <si>
    <t>damicornis</t>
  </si>
  <si>
    <t>Rottnest Island</t>
  </si>
  <si>
    <t>Ward S (1995) The effect of damage on the growth, reproduction and storage of lipids in the scleractinian coral Pocillopora damicornis (Linnaeus). J Exp Mar Bio Ecol 187: 193–206. Available: http://linkinghub.elsevier.com/retrieve/pii/002209819400180L.</t>
  </si>
  <si>
    <t>Crossland C (1981) Seasonal growth of Acropora cf. formosa and Pocillopora damicornis on a high latitude reef (Houtman Abrolhos, Western Australia). Proc 4th int coral Reef Symp 1: 663–667. Available: https://publications.csiro.au/rpr/pub?list=BRO&amp;pid=procite:db4a6536-a1af-4919-b8d1-2357707ddd4d. Accessed 30 May 2014.</t>
  </si>
  <si>
    <t>Houtman Abrolhos WA</t>
  </si>
  <si>
    <t>1.22-1.43</t>
  </si>
  <si>
    <t>0.66-1.48</t>
  </si>
  <si>
    <t>Solitary Islands</t>
  </si>
  <si>
    <t>Martin, D.A. &amp; Le Tissier, A. 1988. The growth and formation of branch tips of Pocillopora damicornis (Linnaeus). Journal of Experimental Marine Biology and Ecology 124, 115–131.</t>
  </si>
  <si>
    <t>Koh Phuket</t>
  </si>
  <si>
    <t>fore reef and back reef pool</t>
  </si>
  <si>
    <t>9 colonies, 226 branches</t>
  </si>
  <si>
    <t>0.37-1.97</t>
  </si>
  <si>
    <t>Glynn, P.W. &amp; Stewart, R.H. 1973. Distribution of coral reefs in the Pearl Islands (Gulf of Panama) in relation to thermal conditions. Limnology and Oceanography 18, 307–379.</t>
  </si>
  <si>
    <t>Pearl Island, Gulf of Panama</t>
  </si>
  <si>
    <t>1-4m</t>
  </si>
  <si>
    <t>3.2-5.2</t>
  </si>
  <si>
    <t>18 colonies, 228 branches</t>
  </si>
  <si>
    <t>2.4-3.3</t>
  </si>
  <si>
    <t>2.8-7.6</t>
  </si>
  <si>
    <t>Glynn, P.W. 1976. Some physical and biological determinants of coral community structure in the eastern Pacific. Ecological Monographs 46, 431–456.</t>
  </si>
  <si>
    <t>Secas Reef, Gulf of Chiriqui</t>
  </si>
  <si>
    <t>Wellington G (1982) An experimental analysis of the effects of light and zooplankton on coral zonation. Oecologia: 311–320. Available: http://link.springer.com/article/10.1007/BF00367953. Accessed 9 December 2014.</t>
  </si>
  <si>
    <t>7-10m</t>
  </si>
  <si>
    <t>only controls, not the other treatments</t>
  </si>
  <si>
    <t>Glynn P, Wellington G, Birkeland C (1979) Coral reef growth in the Galapagos: limitation by sea urchins. Science (80- ): 8–10. Available: http://www.sciencemag.org/content/203/4375/47.short. Accessed 9 December 2014.</t>
  </si>
  <si>
    <t>Ecuador</t>
  </si>
  <si>
    <t>Galaxea</t>
  </si>
  <si>
    <t>Euphyllidae (as Oculinidae)</t>
  </si>
  <si>
    <t>0.9-4.0</t>
  </si>
  <si>
    <t>tenera</t>
  </si>
  <si>
    <t>Millepora</t>
  </si>
  <si>
    <t>Milleporidae</t>
  </si>
  <si>
    <t>Merulinidae</t>
  </si>
  <si>
    <t>Platygyra</t>
  </si>
  <si>
    <t>0.64-1.0</t>
  </si>
  <si>
    <t>Weber J, White E (1974) Activation energy for skeletal aragonite deposited by the hermatypic coral Platygyra spp. Mar Biol 359: 353–359. Available: http://link.springer.com/article/10.1007/BF00391518. Accessed 9 December 2014.</t>
  </si>
  <si>
    <t>Tonga</t>
  </si>
  <si>
    <t>&lt;8m</t>
  </si>
  <si>
    <t>Noumea</t>
  </si>
  <si>
    <t>Tarawa Atoll</t>
  </si>
  <si>
    <t>Moresby</t>
  </si>
  <si>
    <t>Papua New Guinea</t>
  </si>
  <si>
    <t>Buka</t>
  </si>
  <si>
    <t>Solomon Islands</t>
  </si>
  <si>
    <t>Yap</t>
  </si>
  <si>
    <t>Caroline Islands</t>
  </si>
  <si>
    <t>Koror</t>
  </si>
  <si>
    <t>Guadacanal</t>
  </si>
  <si>
    <t>Rabaul</t>
  </si>
  <si>
    <t>0.54-0.9</t>
  </si>
  <si>
    <t>Viti levu</t>
  </si>
  <si>
    <t>Fiji</t>
  </si>
  <si>
    <t>Saipan</t>
  </si>
  <si>
    <t>Mariana Islands</t>
  </si>
  <si>
    <t>Heron Island</t>
  </si>
  <si>
    <t>Carter reef</t>
  </si>
  <si>
    <t>American samoa</t>
  </si>
  <si>
    <t>Mauritius</t>
  </si>
  <si>
    <t>Babcock R (1988) Age-structure, survivorship and fecundity in populations of massive corals. Proc 6th int coral Reef Symp. Available: http://scholar.google.com/scholar?hl=en&amp;btnG=Search&amp;q=intitle:Age-structure,+survivorship+and+fecundity+in+populations+of+massive+corals#0. Accessed 9 December 2014.</t>
  </si>
  <si>
    <t>Orpheus Island</t>
  </si>
  <si>
    <t>0.21-1.27</t>
  </si>
  <si>
    <t>sinensis</t>
  </si>
  <si>
    <t>Magnetic Island</t>
  </si>
  <si>
    <t>0.31-1.09</t>
  </si>
  <si>
    <t>lamellina</t>
  </si>
  <si>
    <t>Fanning Island, Suez Pond</t>
  </si>
  <si>
    <t>Kiribati</t>
  </si>
  <si>
    <t>daedalea (as rustica)</t>
  </si>
  <si>
    <t>crispa (as aspera)</t>
  </si>
  <si>
    <t>Oulophyllia</t>
  </si>
  <si>
    <t>Merulina</t>
  </si>
  <si>
    <t>Dikou, A. 2009. Skeletal linear extension rates of the foliose scleractinian coral Merulina ampliata (Ellis &amp; Solander, 1786) in a turbid environment. Marine Ecology 30, 405–415.</t>
  </si>
  <si>
    <t>4 reefs along southern Islands of Singapore</t>
  </si>
  <si>
    <t>Singapore</t>
  </si>
  <si>
    <t>3-4m</t>
  </si>
  <si>
    <t>1.02-3.26</t>
  </si>
  <si>
    <t>mean from most distant site only, error is SD</t>
  </si>
  <si>
    <t>ampliata</t>
  </si>
  <si>
    <t>Ningaloo</t>
  </si>
  <si>
    <t>plating</t>
  </si>
  <si>
    <t>Houtman Abrolhos</t>
  </si>
  <si>
    <t>Hydnophora</t>
  </si>
  <si>
    <t>4m</t>
  </si>
  <si>
    <t>1.15-1.53</t>
  </si>
  <si>
    <t>0.59-0.66</t>
  </si>
  <si>
    <t>microconos</t>
  </si>
  <si>
    <t>1.0-1.41</t>
  </si>
  <si>
    <t>density averaged of all measured corals in study</t>
  </si>
  <si>
    <t>columnar/massive</t>
  </si>
  <si>
    <t>Goniastrea</t>
  </si>
  <si>
    <t>australensis</t>
  </si>
  <si>
    <t>0.49-0.61</t>
  </si>
  <si>
    <t>0.39-0.65</t>
  </si>
  <si>
    <t>retiformis</t>
  </si>
  <si>
    <t>edwardsii (as parvistella)</t>
  </si>
  <si>
    <t>Anthony, K. R. N., Connolly, S. R., &amp; Willis, B. L. (2002). Comparative analysis of energy allocation to tissue and skeletal growth in corals. Limnology and Oceanography, 47(5), 1417–1429. doi:10.4319/lo.2002.47.5.1417</t>
  </si>
  <si>
    <t>1.387-1.491</t>
  </si>
  <si>
    <t>5-17m</t>
  </si>
  <si>
    <t>1.56-1.94</t>
  </si>
  <si>
    <t>0.49-0.85</t>
  </si>
  <si>
    <t>0.22-0.86</t>
  </si>
  <si>
    <t>favulus</t>
  </si>
  <si>
    <t>0.2-0.78</t>
  </si>
  <si>
    <t>pinnacle reef top</t>
  </si>
  <si>
    <t>edwardsi (as parvistella)</t>
  </si>
  <si>
    <t>0.17-0.81</t>
  </si>
  <si>
    <t>aspera</t>
  </si>
  <si>
    <t>0.2-0.95</t>
  </si>
  <si>
    <t>Favites</t>
  </si>
  <si>
    <t>Faviidae</t>
  </si>
  <si>
    <t>0.05-3.4</t>
  </si>
  <si>
    <t>Favia</t>
  </si>
  <si>
    <t>Sampela, Kaledupa, Hoga</t>
  </si>
  <si>
    <t>0.56-0.92</t>
  </si>
  <si>
    <t>0.06-3.02</t>
  </si>
  <si>
    <t>Seo, I., Lee, Y.I., Watanabe, T., Yamano, H., Shimamura, M., Yoo, C.M. &amp; Hyeong, K. 2013. A skeletal Sr/Ca record preserved in Dipsastraea (Favia) speciosa and implications for coral Sr/Ca thermometry in mid-latitude regions. Geochemistry, Geophysics, Geosystems 14, 2873–2885.</t>
  </si>
  <si>
    <t>Kurosaki Bay, Iki Island</t>
  </si>
  <si>
    <t>speciosa</t>
  </si>
  <si>
    <t>pallida</t>
  </si>
  <si>
    <t>2-30m</t>
  </si>
  <si>
    <t>1.34-1.57</t>
  </si>
  <si>
    <t>0.41-0.71</t>
  </si>
  <si>
    <t>stelligera</t>
  </si>
  <si>
    <t>Cyphastrea</t>
  </si>
  <si>
    <t>0.66-0.89</t>
  </si>
  <si>
    <t>Romano, S. L. (1990) Long-term effects of interspecific aggression on growth of
the reef-building corals Cyphastrea ocellina (Dana) and
Pocillopora damicornis (Liinaeus). Journal for Experimental Marine Biology and Ecology 140:135-146</t>
  </si>
  <si>
    <t>Hawaii, Coconut Island, Kaneohe Bay</t>
  </si>
  <si>
    <t>error is SD, only control without interaction</t>
  </si>
  <si>
    <t>encrusting/nodular</t>
  </si>
  <si>
    <t>ocellina</t>
  </si>
  <si>
    <t>Astrea</t>
  </si>
  <si>
    <t>curta</t>
  </si>
  <si>
    <t>Astrea (as Montastrea)</t>
  </si>
  <si>
    <t>Lobophyllia</t>
  </si>
  <si>
    <t>Mushroom</t>
  </si>
  <si>
    <t>Fungiidae</t>
  </si>
  <si>
    <t>16m</t>
  </si>
  <si>
    <t>robusta</t>
  </si>
  <si>
    <t>Sandalolitha</t>
  </si>
  <si>
    <t>Chadwick-Furman, N.E., Goffredo, S. &amp; Loya, Y. 2000. Growth and population dynamic model of the reef coral Fungia granulosa Klunzinger, 1879 at Eilat, northern Red Sea. Journal of Experimental Marine Biology and Ecology 249, 199–218.</t>
  </si>
  <si>
    <t>5-7m</t>
  </si>
  <si>
    <t>0.1-1.5</t>
  </si>
  <si>
    <t>granulosa</t>
  </si>
  <si>
    <t>Pleuractis (as Fungia)</t>
  </si>
  <si>
    <t>1.12-2.0</t>
  </si>
  <si>
    <t>vertical growth, attached specimen (smaller)</t>
  </si>
  <si>
    <t>scutaria</t>
  </si>
  <si>
    <t>0.33-0.59</t>
  </si>
  <si>
    <t>vertical growth, free specimen (larger)</t>
  </si>
  <si>
    <t>Ma, 1958 in: Jokiel, P., &amp; Tyler, W. (1992). Distribution of stony corals in Johnston Atoll lagoon. In Proc. Seventh Int. Coral Reef Symp (Vol. 2)</t>
  </si>
  <si>
    <t>0.4-1.4</t>
  </si>
  <si>
    <t>limax</t>
  </si>
  <si>
    <t>Herpolitha</t>
  </si>
  <si>
    <t>Knittweis, L., Jompa, J., Richter, C. &amp; Wolff, M. 2009. Population dynamics of the mushroom coral Heliofungia actiniformis in the Spermonde Archipelago, South Sulawesi, Indonesia. Coral Reefs 28, 793–804.</t>
  </si>
  <si>
    <t>Barrang Lompo</t>
  </si>
  <si>
    <t>10-12m</t>
  </si>
  <si>
    <t>0.1-1.15</t>
  </si>
  <si>
    <t>growth dependent on polyp size, error is SD</t>
  </si>
  <si>
    <t>actiniformis</t>
  </si>
  <si>
    <t>Heliofungia</t>
  </si>
  <si>
    <t>fungites</t>
  </si>
  <si>
    <t>Fungia</t>
  </si>
  <si>
    <t>Diploastrea</t>
  </si>
  <si>
    <t>Diploastreridae</t>
  </si>
  <si>
    <t>0.21-0.34</t>
  </si>
  <si>
    <t>heliopora</t>
  </si>
  <si>
    <t>0.24-0.64</t>
  </si>
  <si>
    <t>Cantin, N.E., Cohen, A. L., Karnauskas, K. B., Tarrant, A. M., McCorkle, D. C. (2010) Ocean Warming Slows Coral Growth
in the Central Red Sea. Science 329:322-329</t>
  </si>
  <si>
    <t>5 km off the coast</t>
  </si>
  <si>
    <t>13-15m</t>
  </si>
  <si>
    <t>0.18-0.27</t>
  </si>
  <si>
    <t>CT scan, measure of growth bands</t>
  </si>
  <si>
    <t>Turbinaria</t>
  </si>
  <si>
    <r>
      <t xml:space="preserve">Browne, N. K. (2012). Spatial and temporal variations in coral growth on an inshore turbid reef subjected to multiple disturbances. </t>
    </r>
    <r>
      <rPr>
        <i/>
        <sz val="11"/>
        <color theme="1"/>
        <rFont val="Arial Narrow"/>
        <family val="2"/>
      </rPr>
      <t>Marine Environmental Research</t>
    </r>
    <r>
      <rPr>
        <sz val="11"/>
        <color theme="1"/>
        <rFont val="Arial Narrow"/>
        <family val="2"/>
      </rPr>
      <t xml:space="preserve">, </t>
    </r>
    <r>
      <rPr>
        <i/>
        <sz val="11"/>
        <color theme="1"/>
        <rFont val="Arial Narrow"/>
        <family val="2"/>
      </rPr>
      <t>77</t>
    </r>
    <r>
      <rPr>
        <sz val="11"/>
        <color theme="1"/>
        <rFont val="Arial Narrow"/>
        <family val="2"/>
      </rPr>
      <t>, 71–83. doi:10.1016/j.marenvres.2012.02.005</t>
    </r>
  </si>
  <si>
    <t>Middle Reef, Cleveland bay</t>
  </si>
  <si>
    <t>Patch reef</t>
  </si>
  <si>
    <t>0.95-1.7</t>
  </si>
  <si>
    <t>mesenterina</t>
  </si>
  <si>
    <t>Dendrophyllidae</t>
  </si>
  <si>
    <t>frondens</t>
  </si>
  <si>
    <t>foliose</t>
  </si>
  <si>
    <t>Agariciidae</t>
  </si>
  <si>
    <t>Pavona</t>
  </si>
  <si>
    <t>Wellington, G.M. &amp; Glynn, P.W. 1983. Environmental influences on skeletal banding in eastern Pacific</t>
  </si>
  <si>
    <t>Isla Contadora, Gulf of Panama</t>
  </si>
  <si>
    <t>gigantea</t>
  </si>
  <si>
    <t>1.31-1.87</t>
  </si>
  <si>
    <t>0.3-1.3</t>
  </si>
  <si>
    <t>0.62-1.28</t>
  </si>
  <si>
    <t>1-1.5</t>
  </si>
  <si>
    <t>duerdeni</t>
  </si>
  <si>
    <t>1-1.4</t>
  </si>
  <si>
    <t>0.6-1.1</t>
  </si>
  <si>
    <t>Gateno, D., León-Campos, A., Barki, Y., Cortés-Núñez, J. &amp; Rinkevich, B. 2003. Skeletal tumor formations in the massive coral Pavona clavus. Marine Ecology Progress Series 258, 97–108.</t>
  </si>
  <si>
    <r>
      <t>G</t>
    </r>
    <r>
      <rPr>
        <sz val="11"/>
        <color theme="1"/>
        <rFont val="Calibri"/>
        <family val="2"/>
      </rPr>
      <t>ü</t>
    </r>
    <r>
      <rPr>
        <sz val="9.35"/>
        <color theme="1"/>
        <rFont val="Arial Narrow"/>
        <family val="2"/>
      </rPr>
      <t>iri-Güiri reef</t>
    </r>
  </si>
  <si>
    <t>only healthy sections</t>
  </si>
  <si>
    <t>clavus</t>
  </si>
  <si>
    <t>1.3-2.6</t>
  </si>
  <si>
    <t>0.85-2.8</t>
  </si>
  <si>
    <t>Wellington, G.M. &amp; Glynn, P.W. 1983. Environmental influences on skeletal banding in eastern Pacific (Panama) corals. Coral Reefs 1, 215–222.</t>
  </si>
  <si>
    <t>Isla Uva, Isla Seca, Gulf of Chiriqui</t>
  </si>
  <si>
    <t>0.54-1.34</t>
  </si>
  <si>
    <t>Plucer-Rosario G, Randall R (1987) Preservation of rare coral species by transplantation and examination of their recruitment and growth. Bull Mar Sci 41: 585–593. Available: http://www.ingentaconnect.com/content/umrsmas/bullmar/1987/00000041/00000002/art00043. Accessed 9 December 2014.</t>
  </si>
  <si>
    <t>Atra bay</t>
  </si>
  <si>
    <t>cactus</t>
  </si>
  <si>
    <t>varians</t>
  </si>
  <si>
    <t>1.84-2.18</t>
  </si>
  <si>
    <t>0.2-0.5</t>
  </si>
  <si>
    <t>encrusting/submassive</t>
  </si>
  <si>
    <t>0.19-0.44</t>
  </si>
  <si>
    <t>3.5-6.5</t>
  </si>
  <si>
    <t>0.5-1.8</t>
  </si>
  <si>
    <t>maldivensis</t>
  </si>
  <si>
    <t>1.44-1.85</t>
  </si>
  <si>
    <t>0.2-1.7</t>
  </si>
  <si>
    <t>frondose</t>
  </si>
  <si>
    <t>gardineri</t>
  </si>
  <si>
    <t>Leptoseris</t>
  </si>
  <si>
    <t>Gardineroseris</t>
  </si>
  <si>
    <t>1.46-1.80</t>
  </si>
  <si>
    <t>0.4-1.25</t>
  </si>
  <si>
    <t>planulata</t>
  </si>
  <si>
    <t>0.63-1.26</t>
  </si>
  <si>
    <t>Montipora</t>
  </si>
  <si>
    <t>Acroporiidae</t>
  </si>
  <si>
    <t>2.65-4.30</t>
  </si>
  <si>
    <t>1.4-3.0</t>
  </si>
  <si>
    <t>1.0-1.2</t>
  </si>
  <si>
    <t>Field measurements between growth bands</t>
  </si>
  <si>
    <t>plating/foliose</t>
  </si>
  <si>
    <t>foliosa (as pulcherrima)</t>
  </si>
  <si>
    <t>0.5-5.8</t>
  </si>
  <si>
    <t>aequituberculata</t>
  </si>
  <si>
    <t>verrilli</t>
  </si>
  <si>
    <t>0.6-2.2</t>
  </si>
  <si>
    <t>Grottoli A. G (1999) Variability of stable isotopes and maximum linear extension in reef-coral skeletons at Kaneohe Bay, Hawaii. Mar Biol 135: 437–449. Available: http://link.springer.com/10.1007/s002270050644.</t>
  </si>
  <si>
    <t>Heyward, A.J. &amp; Collins, J.D. 1985. Growth and sexual reproduction in the scleractinian coral Montipora digitata (Dana). Marine and Freshwater Research 36, 441–446.</t>
  </si>
  <si>
    <t>digitata</t>
  </si>
  <si>
    <t>1.72-2.10</t>
  </si>
  <si>
    <t>cuneata</t>
  </si>
  <si>
    <t xml:space="preserve">Isopora </t>
  </si>
  <si>
    <t>Astreopora</t>
  </si>
  <si>
    <t>X-radioactivity/density bands</t>
  </si>
  <si>
    <t>myriophthalma</t>
  </si>
  <si>
    <t>Acropora</t>
  </si>
  <si>
    <t>1.67-9.86</t>
  </si>
  <si>
    <t>table</t>
  </si>
  <si>
    <t>13.5-33.3</t>
  </si>
  <si>
    <t>valenciennesi</t>
  </si>
  <si>
    <t>Bundegi</t>
  </si>
  <si>
    <t>spicifera</t>
  </si>
  <si>
    <t>solitaryensis</t>
  </si>
  <si>
    <t>Bucher, D. J., Harriott, V. J., &amp; Roberts, L. G. (1998). Skeletal micro-density, porosity and bulk density of acroporid corals. Journal of Experimental Marine Biology and Ecology, 228(1), 117–136. doi:10.1016/S0022-0981(98)00020-3</t>
  </si>
  <si>
    <t>Sub-tropical rocky reefs</t>
  </si>
  <si>
    <t>Solitary Islands, NSW</t>
  </si>
  <si>
    <t>hyacinthus</t>
  </si>
  <si>
    <t>0.32-11.5</t>
  </si>
  <si>
    <t>glauca</t>
  </si>
  <si>
    <t>cytherea</t>
  </si>
  <si>
    <t>Ma TYH (1958) The relation of growth rate of reef corals to surface temperature of sea water as a basis for study of causes of disastrophisms instigating evolution of life. World Book Co, LTD, Taipei, Taiwan. IN Jokiel and Tyler (1992)</t>
  </si>
  <si>
    <t>Tahiti</t>
  </si>
  <si>
    <t>6.0-12.0</t>
  </si>
  <si>
    <t>5.1-13.0</t>
  </si>
  <si>
    <t>0.09-10.39</t>
  </si>
  <si>
    <t>6.5-13.0</t>
  </si>
  <si>
    <t>digitate</t>
  </si>
  <si>
    <t>valida</t>
  </si>
  <si>
    <t>humilis</t>
  </si>
  <si>
    <t>1.6-2.8</t>
  </si>
  <si>
    <t>0.6-1.3</t>
  </si>
  <si>
    <t>0.07-4.24</t>
  </si>
  <si>
    <t>2.17-2.63</t>
  </si>
  <si>
    <t>gemmifera</t>
  </si>
  <si>
    <t>3.47-4.22</t>
  </si>
  <si>
    <t>digitifera</t>
  </si>
  <si>
    <t>Brown, B., Sya’Rani, L., &amp; Tissier, M. Le. (1985). Skeletal form and growth in Acropora aspera(Dana) from the Pulau Seribu, Indonesia. Journal of Experimental Marine …, 86, 139–150. Retrieved from http://www.sciencedirect.com/science/article/pii/0022098185900279</t>
  </si>
  <si>
    <t>exposed</t>
  </si>
  <si>
    <t>Palua Pari, java Sea</t>
  </si>
  <si>
    <t>crest</t>
  </si>
  <si>
    <t>One Tree Island</t>
  </si>
  <si>
    <t>5-10m</t>
  </si>
  <si>
    <t>Leeward lagoon</t>
  </si>
  <si>
    <t>Suresh, V. R. &amp; Mathew, K. J. (1995) Growth of staghorn coral Acropora aspera (Dana) (Scleractinia: Acropridae)
in relation to environmental factors at Kavaratti atoll
(Lakshadweep Islands), India. Indian Journal of Marine Sciences 24: 175-176</t>
  </si>
  <si>
    <t>Kavaratti Lagoon</t>
  </si>
  <si>
    <t>India</t>
  </si>
  <si>
    <t>3.8-4.9</t>
  </si>
  <si>
    <t>Alizarin Red stsin</t>
  </si>
  <si>
    <t>corymbose</t>
  </si>
  <si>
    <t>Bucher, D. J., Harriott, V. J., &amp; Roberts, L. G. (1998). Skeletal micro-density, porosity and bulk density of acroporid corals. Journal of Experimental Marine Biology and Ecology, 228(1), 117–136. doi:10.1016/S0022-0981(98)00020-6</t>
  </si>
  <si>
    <t>2.7-6.1</t>
  </si>
  <si>
    <t>nasuta</t>
  </si>
  <si>
    <t>hemprichi</t>
  </si>
  <si>
    <t>Al-Fanadar</t>
  </si>
  <si>
    <t>Al-Hammady, M. A. M. (2013) The effects of zooxanthellae availability on the rates of skeletal growth in the Red Sea coral Acropora hemprichii. Egyptian Journal of Aquatic Research 39:177-183</t>
  </si>
  <si>
    <t>echinata</t>
  </si>
  <si>
    <t>cerealis</t>
  </si>
  <si>
    <t>Marsh L (1993) The occurrence and growth of Acropora in extra-tropical waters off Perth, Western Australia. Proc 7th Int Coral Reef … 2: 1233–1238. Available: http://scholar.google.com/scholar?hl=en&amp;btnG=Search&amp;q=intitle:The+occurrence+and+growth+of+Acropora+in+extra-tropical+waters+off+Perth,+Western+Australia#0. Accessed 30 May 2014.</t>
  </si>
  <si>
    <t>yongei</t>
  </si>
  <si>
    <t>longicyathus</t>
  </si>
  <si>
    <t>Bucher, D. J., Harriott, V. J., &amp; Roberts, L. G. (1998). Skeletal micro-density, porosity and bulk density of acroporid corals. Journal of Experimental Marine Biology and Ecology, 228(1), 117–136. doi:10.1016/S0022-0981(98)00020-5</t>
  </si>
  <si>
    <t>horrida</t>
  </si>
  <si>
    <t>0.13-7.84</t>
  </si>
  <si>
    <t>divaricata</t>
  </si>
  <si>
    <t>austera</t>
  </si>
  <si>
    <t>pharaonis</t>
  </si>
  <si>
    <t>arborescent</t>
  </si>
  <si>
    <t>Solitary islands</t>
  </si>
  <si>
    <t>Yap H, Gomez E (1985) Growth of Acropora pulchra. Mar Biol 87: 203–209. Available: http://link.springer.com/article/10.1007/BF00539430. Accessed 9 December 2014.</t>
  </si>
  <si>
    <t>Santiago Island, Bolinao</t>
  </si>
  <si>
    <t>0.36-2.76</t>
  </si>
  <si>
    <t>Roche, R. C., Abel, R. a., Johnson, K. G., &amp; Perry, C. T. (2010). Quantification of porosity in Acropora pulchra (Brook 1891) using X-ray micro-computed tomography techniques. Journal of Experimental Marine Biology and Ecology, 396(1), 1–9. doi:10.1016/j.jembe.2010.10.006</t>
  </si>
  <si>
    <t>inshore</t>
  </si>
  <si>
    <t>King Reef</t>
  </si>
  <si>
    <t>0.3-2m</t>
  </si>
  <si>
    <t>0.69-1.19</t>
  </si>
  <si>
    <t>X-radiography, bouyant weight</t>
  </si>
  <si>
    <t>Harriott VJ (1998) Growth of the staghorn coral Acropora formosa at Houtman Abrolhos, Western Australia. Mar Biol 132: 319–325. Available: http://link.springer.com/10.1007/s002270050397.</t>
  </si>
  <si>
    <t>3.70-4.29</t>
  </si>
  <si>
    <t>Northwest coast Phuket</t>
  </si>
  <si>
    <t>3.6-6.84</t>
  </si>
  <si>
    <t>Charuchinda M, Hylleberg J (1984) Skeletal extension of Acropora formosa at a fringing reef in the Andaman Sea. Coral Reefs 17: 215–219. Available: http://link.springer.com/article/10.1007/BF00288257. Accessed 14 May 2014.</t>
  </si>
  <si>
    <t>Phuket</t>
  </si>
  <si>
    <t>Oliver, J. K. (1984) Intra-colony variation in the growth of Acropora formosa: Extension rates and skeletal structure of white (zooxanthellae-free) and brown-tipped branches. Coral Reefs 3:139-147</t>
  </si>
  <si>
    <t>Nelly Bay, Magnetic Island</t>
  </si>
  <si>
    <t>3.96-6.24</t>
  </si>
  <si>
    <t>Oliver J, Chalker B, Dunlap W (1983) Bathymetric adaptations of reef-building corals at davies reef, great barrier reef, Australia. I. Long-term growth responses of Acropora formosa(Dana 1846). J Exp Mar Biol … 73: 11–35. Available: http://www.sciencedirect.com/science/article/pii/0022098183900035. Accessed 19 May 2014.</t>
  </si>
  <si>
    <t>8-16.6</t>
  </si>
  <si>
    <t>Bucher, D. J., Harriott, V. J., &amp; Roberts, L. G. (1998). Skeletal micro-density, porosity and bulk density of acroporid corals. Journal of Experimental Marine Biology and Ecology, 228(1), 117–136. doi:10.1016/S0022-0981(98)00020-4</t>
  </si>
  <si>
    <t>0.52-1.47</t>
  </si>
  <si>
    <t>1.5-14.2</t>
  </si>
  <si>
    <t xml:space="preserve">Suresh, V. R. &amp; Mathew, K. J. (1993) Skeletal extension of staghorn coral Acropora formosa in relation to
environment at Kavaratti atoll (Lakshadweep). Indian Journal of Marine Science 22:176-179
in relation to environmental factors at Kavaratti atoll
</t>
  </si>
  <si>
    <t>reef lagoon</t>
  </si>
  <si>
    <t>1 colony (24 branches)</t>
  </si>
  <si>
    <t>protected</t>
  </si>
  <si>
    <t>Roomassala</t>
  </si>
  <si>
    <t>Sri Lanka</t>
  </si>
  <si>
    <t>0.5-1.5m</t>
  </si>
  <si>
    <t>Jinendradasa, S. S. &amp; Ekaratne, S. U. K. (2000). Linear Extension of Acropora muricata (Dana) at Selected Reef Locations in Sri Lanka. Proceedings 9th International Coral Reef Symposium, Bali, Indonesia 23-27 October 2000, Vol. 1</t>
  </si>
  <si>
    <t>wave exposed</t>
  </si>
  <si>
    <t>Hikkaduwa Nature Reserve</t>
  </si>
  <si>
    <t>3.9-7.81</t>
  </si>
  <si>
    <t>Notes</t>
  </si>
  <si>
    <t>Reference</t>
  </si>
  <si>
    <t>Region</t>
  </si>
  <si>
    <t>Environment</t>
  </si>
  <si>
    <t>Site</t>
  </si>
  <si>
    <t>Country</t>
  </si>
  <si>
    <t>Depth (m)</t>
  </si>
  <si>
    <t>Zone</t>
  </si>
  <si>
    <t>Error (SE unless otherwise stated)</t>
  </si>
  <si>
    <t>Density range (g/cm^3)</t>
  </si>
  <si>
    <t>n</t>
  </si>
  <si>
    <t>Methods</t>
  </si>
  <si>
    <t>Morphology (either reported or dominant from Veron et al. 2000)</t>
  </si>
  <si>
    <t>Species</t>
  </si>
  <si>
    <t>Genus</t>
  </si>
  <si>
    <t>Family</t>
  </si>
  <si>
    <t>Morphology</t>
  </si>
  <si>
    <t>Method</t>
  </si>
  <si>
    <t>Lateral Growth Rate (cm/yr)</t>
  </si>
  <si>
    <t>Vertical growth rate (cm/yr)</t>
  </si>
  <si>
    <r>
      <t>Calcification Rate (g/cm</t>
    </r>
    <r>
      <rPr>
        <b/>
        <vertAlign val="superscript"/>
        <sz val="11"/>
        <color indexed="8"/>
        <rFont val="Arial Narrow"/>
        <family val="2"/>
      </rPr>
      <t>2</t>
    </r>
    <r>
      <rPr>
        <b/>
        <sz val="11"/>
        <color indexed="8"/>
        <rFont val="Arial Narrow"/>
        <family val="2"/>
      </rPr>
      <t>/yr)</t>
    </r>
  </si>
  <si>
    <t>Orientation</t>
  </si>
  <si>
    <t>Porolithon</t>
  </si>
  <si>
    <t>Alizarin Red and branch extension</t>
  </si>
  <si>
    <t>Kanehoe Bay</t>
  </si>
  <si>
    <t>based on 43 days of growth</t>
  </si>
  <si>
    <t>onkodes</t>
  </si>
  <si>
    <t>PVC plates</t>
  </si>
  <si>
    <t>fore reef</t>
  </si>
  <si>
    <t>&lt;3</t>
  </si>
  <si>
    <t>Ishigaki Island, Ryuku</t>
  </si>
  <si>
    <t>Matsuda, S. (1989). Succession and growth rates of crustose coralline algae (Rhodophyta, Cryptonemiales) in the upper fore-reef environment off Ishigaki Island, Ryukyu Islands. Coral Reefs 7: 185-195</t>
  </si>
  <si>
    <t>predation from parrotfish, surgeonfish etc not quantified and rates do take inot account an initial settling period</t>
  </si>
  <si>
    <t>Paragoniolithon</t>
  </si>
  <si>
    <t>conicum</t>
  </si>
  <si>
    <t>Neogoniolithon</t>
  </si>
  <si>
    <t>fosliei</t>
  </si>
  <si>
    <t>sp.</t>
  </si>
  <si>
    <t>Lithophyllum</t>
  </si>
  <si>
    <t>insipidum</t>
  </si>
  <si>
    <t>CCA</t>
  </si>
  <si>
    <t>0.1-0.12</t>
  </si>
  <si>
    <t>predation from parrotfish, surgeonfish etc not quantified and rates do take inot account an initial settling period. This figure refers to the accretion of all CCA on plates with few dead patches</t>
  </si>
  <si>
    <t>Porites blocks</t>
  </si>
  <si>
    <t>Fringing Reef</t>
  </si>
  <si>
    <t>1-2</t>
  </si>
  <si>
    <t>Moorea</t>
  </si>
  <si>
    <t>Lagoon atoll</t>
  </si>
  <si>
    <t>Reef blocks</t>
  </si>
  <si>
    <t>back reef</t>
  </si>
  <si>
    <t>2-4</t>
  </si>
  <si>
    <t>unfished</t>
  </si>
  <si>
    <t>Mombasa Marine Park</t>
  </si>
  <si>
    <t>Kenya</t>
  </si>
  <si>
    <r>
      <t xml:space="preserve">O’Leary, J., &amp; McClanahan, T. (2010). Trophic cascades result in large-scale coralline algae loss through differential grazer effects. </t>
    </r>
    <r>
      <rPr>
        <i/>
        <sz val="11"/>
        <color theme="1"/>
        <rFont val="Arial Narrow"/>
        <family val="2"/>
      </rPr>
      <t>Ecology</t>
    </r>
    <r>
      <rPr>
        <sz val="11"/>
        <color theme="1"/>
        <rFont val="Arial Narrow"/>
        <family val="2"/>
      </rPr>
      <t xml:space="preserve">, </t>
    </r>
    <r>
      <rPr>
        <i/>
        <sz val="11"/>
        <color theme="1"/>
        <rFont val="Arial Narrow"/>
        <family val="2"/>
      </rPr>
      <t>91</t>
    </r>
    <r>
      <rPr>
        <sz val="11"/>
        <color theme="1"/>
        <rFont val="Arial Narrow"/>
        <family val="2"/>
      </rPr>
      <t>(12), 3584–3597. Retrieved from http://www.esajournals.org/doi/abs/10.1890/09-2059.1</t>
    </r>
  </si>
  <si>
    <t>fished</t>
  </si>
  <si>
    <t>Ras Iwatine</t>
  </si>
  <si>
    <t>Vabbinafaru</t>
  </si>
  <si>
    <r>
      <t xml:space="preserve">Morgan, K. M., &amp; Kench, P. S. (2014). Carbonate production rates of encruster communities on a lagoonal patch reef: Vabbinfaru reef platform, Maldives. </t>
    </r>
    <r>
      <rPr>
        <i/>
        <sz val="11"/>
        <color theme="1"/>
        <rFont val="Arial Narrow"/>
        <family val="2"/>
      </rPr>
      <t>Marine and Freshwater Research</t>
    </r>
    <r>
      <rPr>
        <sz val="11"/>
        <color theme="1"/>
        <rFont val="Arial Narrow"/>
        <family val="2"/>
      </rPr>
      <t xml:space="preserve">, </t>
    </r>
    <r>
      <rPr>
        <i/>
        <sz val="11"/>
        <color theme="1"/>
        <rFont val="Arial Narrow"/>
        <family val="2"/>
      </rPr>
      <t>65</t>
    </r>
    <r>
      <rPr>
        <sz val="11"/>
        <color theme="1"/>
        <rFont val="Arial Narrow"/>
        <family val="2"/>
      </rPr>
      <t>(8), 720. http://doi.org/10.1071/MF13155</t>
    </r>
  </si>
  <si>
    <t>lagoon atoll</t>
  </si>
  <si>
    <t>3-8</t>
  </si>
  <si>
    <t>7-10</t>
  </si>
  <si>
    <t>outer islands</t>
  </si>
  <si>
    <t>Ribbon Reef no.3, Harrier Reef, Osprey Reef</t>
  </si>
  <si>
    <r>
      <t>Osorno, A., Peyrot-Clausade, M., &amp; Hutchings, P. A. (2005). Patterns and rates of erosion in dead Porites across the Great Barrier Reef (Australia) after 2 years and 4 years of exposure. </t>
    </r>
    <r>
      <rPr>
        <i/>
        <sz val="11"/>
        <color rgb="FF222222"/>
        <rFont val="Arial Narrow"/>
        <family val="2"/>
      </rPr>
      <t>Coral Reefs</t>
    </r>
    <r>
      <rPr>
        <sz val="11"/>
        <color rgb="FF222222"/>
        <rFont val="Arial Narrow"/>
        <family val="2"/>
      </rPr>
      <t>, </t>
    </r>
    <r>
      <rPr>
        <i/>
        <sz val="11"/>
        <color rgb="FF222222"/>
        <rFont val="Arial Narrow"/>
        <family val="2"/>
      </rPr>
      <t>24</t>
    </r>
    <r>
      <rPr>
        <sz val="11"/>
        <color rgb="FF222222"/>
        <rFont val="Arial Narrow"/>
        <family val="2"/>
      </rPr>
      <t>(2), 292-303.</t>
    </r>
  </si>
  <si>
    <r>
      <t>Pari, N., Peyrot-Clausade, M., &amp; Hutchings, P. A. (2002). Bioerosion of experimental substrates on high islands and atoll lagoons (French Polynesia) during 5 years of exposure. </t>
    </r>
    <r>
      <rPr>
        <i/>
        <sz val="11"/>
        <color rgb="FF222222"/>
        <rFont val="Arial Narrow"/>
        <family val="2"/>
      </rPr>
      <t>Journal of Experimental Marine Biology and Ecology</t>
    </r>
    <r>
      <rPr>
        <sz val="11"/>
        <color rgb="FF222222"/>
        <rFont val="Arial Narrow"/>
        <family val="2"/>
      </rPr>
      <t>, </t>
    </r>
    <r>
      <rPr>
        <i/>
        <sz val="11"/>
        <color rgb="FF222222"/>
        <rFont val="Arial Narrow"/>
        <family val="2"/>
      </rPr>
      <t>276</t>
    </r>
    <r>
      <rPr>
        <sz val="11"/>
        <color rgb="FF222222"/>
        <rFont val="Arial Narrow"/>
        <family val="2"/>
      </rPr>
      <t>(1-2), 109-127.</t>
    </r>
  </si>
  <si>
    <t>Ceramic tiles</t>
  </si>
  <si>
    <t>Vabbinfaru</t>
  </si>
  <si>
    <t>Morgan, K. M., &amp; Kench, P. S. (2017). New rates of Indian Ocean carbonate production by encrusting coral reef calcifiers: Periodic expansions following disturbance influence reef-building and recovery. Marine Geology, 390, 72-79.</t>
  </si>
  <si>
    <t>Tiles of PVC, Polycarbonate, porcelain &amp; glass</t>
  </si>
  <si>
    <t>Kennedy, E. V., Ordoñez, A., Lewis, B. E., &amp; Diaz-Pulido, G. (2017). Comparison of recruitment tile materials for monitoring coralline algae responses to a changing climate. Marine Ecology Progress Series, 569, 129-144.</t>
  </si>
  <si>
    <t>Alizarin Red</t>
  </si>
  <si>
    <t>reef crest and upper slope</t>
  </si>
  <si>
    <t>&lt;6</t>
  </si>
  <si>
    <t>Lewis, B., Kennedy, E. V., &amp; Diaz-Pulido, G. (2017). Seasonal growth and calcification of a reef-building crustose coralline alga on the Great Barrier Reef. Marine Ecology Progress Series, 568, 73-86.</t>
  </si>
  <si>
    <t>CODE</t>
  </si>
  <si>
    <t>Genera/Taxon</t>
  </si>
  <si>
    <t>HCB</t>
  </si>
  <si>
    <t>Hard coral</t>
  </si>
  <si>
    <t>HCC</t>
  </si>
  <si>
    <t>HCE</t>
  </si>
  <si>
    <t>HCF</t>
  </si>
  <si>
    <t>HCM</t>
  </si>
  <si>
    <t>HCP</t>
  </si>
  <si>
    <t>HCS</t>
  </si>
  <si>
    <t>ACAE</t>
  </si>
  <si>
    <t>Acanthastrea</t>
  </si>
  <si>
    <t>ACAM</t>
  </si>
  <si>
    <t>ACRA</t>
  </si>
  <si>
    <t>ACRB</t>
  </si>
  <si>
    <t>ACRO</t>
  </si>
  <si>
    <t>ACRD</t>
  </si>
  <si>
    <t>ACRE</t>
  </si>
  <si>
    <t>ACRS</t>
  </si>
  <si>
    <t>ACRT</t>
  </si>
  <si>
    <t>ALVC</t>
  </si>
  <si>
    <t>Alveopora</t>
  </si>
  <si>
    <t>ALVE</t>
  </si>
  <si>
    <t>ALVM</t>
  </si>
  <si>
    <t>ASTE</t>
  </si>
  <si>
    <t>ASTM</t>
  </si>
  <si>
    <t>ASRE</t>
  </si>
  <si>
    <t>ASRM</t>
  </si>
  <si>
    <t>CAUB</t>
  </si>
  <si>
    <t>Caulastrea</t>
  </si>
  <si>
    <t>CAUM</t>
  </si>
  <si>
    <t>COSC</t>
  </si>
  <si>
    <t>Coscinaraea</t>
  </si>
  <si>
    <t>COSE</t>
  </si>
  <si>
    <t>COSM</t>
  </si>
  <si>
    <t>COSP</t>
  </si>
  <si>
    <t>COSS</t>
  </si>
  <si>
    <t>Ctenactis</t>
  </si>
  <si>
    <t>freeliving</t>
  </si>
  <si>
    <t>Cycloseris</t>
  </si>
  <si>
    <t>CYPC</t>
  </si>
  <si>
    <t>CYPE</t>
  </si>
  <si>
    <t>CYPM</t>
  </si>
  <si>
    <t>CYPS</t>
  </si>
  <si>
    <t>DIPE</t>
  </si>
  <si>
    <t>DIPM</t>
  </si>
  <si>
    <t>ECHE</t>
  </si>
  <si>
    <t>Echinophyllia</t>
  </si>
  <si>
    <t>ECHF</t>
  </si>
  <si>
    <t>ECPB</t>
  </si>
  <si>
    <t>Echinopora</t>
  </si>
  <si>
    <t>ECPE</t>
  </si>
  <si>
    <t>ECPM</t>
  </si>
  <si>
    <t>ECPF</t>
  </si>
  <si>
    <t>ECPS</t>
  </si>
  <si>
    <t>EUPB</t>
  </si>
  <si>
    <t>Euphyllia</t>
  </si>
  <si>
    <t>FAVE</t>
  </si>
  <si>
    <t>FAVM</t>
  </si>
  <si>
    <t>FAVC</t>
  </si>
  <si>
    <t>FATE</t>
  </si>
  <si>
    <t>FATM</t>
  </si>
  <si>
    <t>GALC</t>
  </si>
  <si>
    <t>GALE</t>
  </si>
  <si>
    <t>GALM</t>
  </si>
  <si>
    <t>GALS</t>
  </si>
  <si>
    <t>GARE</t>
  </si>
  <si>
    <t xml:space="preserve">Gardinoseris  </t>
  </si>
  <si>
    <t>GARM</t>
  </si>
  <si>
    <t>GONC</t>
  </si>
  <si>
    <t>GONE</t>
  </si>
  <si>
    <t>GONM</t>
  </si>
  <si>
    <t>GONS</t>
  </si>
  <si>
    <t>GOPC</t>
  </si>
  <si>
    <t>GOPE</t>
  </si>
  <si>
    <t>GOPM</t>
  </si>
  <si>
    <t>GOPP</t>
  </si>
  <si>
    <t>GOPS</t>
  </si>
  <si>
    <t>Halomitra</t>
  </si>
  <si>
    <t>HYDB</t>
  </si>
  <si>
    <t>HYDE</t>
  </si>
  <si>
    <t>HYDM</t>
  </si>
  <si>
    <t>HYDP</t>
  </si>
  <si>
    <t>HYDS</t>
  </si>
  <si>
    <t>LEPE</t>
  </si>
  <si>
    <t>LEPM</t>
  </si>
  <si>
    <t>LETE</t>
  </si>
  <si>
    <t>Leptoria</t>
  </si>
  <si>
    <t>LETM</t>
  </si>
  <si>
    <t>LETS</t>
  </si>
  <si>
    <t>LESE</t>
  </si>
  <si>
    <t>LESF</t>
  </si>
  <si>
    <t>LESP</t>
  </si>
  <si>
    <t>LOBE</t>
  </si>
  <si>
    <t>LOBM</t>
  </si>
  <si>
    <t>MERE</t>
  </si>
  <si>
    <t>MERP</t>
  </si>
  <si>
    <t>MONC</t>
  </si>
  <si>
    <t>MONE</t>
  </si>
  <si>
    <t>MONM</t>
  </si>
  <si>
    <t>MONS</t>
  </si>
  <si>
    <t>MOPE</t>
  </si>
  <si>
    <t>MOPM</t>
  </si>
  <si>
    <t>MOPP</t>
  </si>
  <si>
    <t>MOPS</t>
  </si>
  <si>
    <t>MYCE</t>
  </si>
  <si>
    <t>Mycedium</t>
  </si>
  <si>
    <t>MYCF</t>
  </si>
  <si>
    <t>MYCP</t>
  </si>
  <si>
    <t>OULE</t>
  </si>
  <si>
    <t>OULM</t>
  </si>
  <si>
    <t>OULP</t>
  </si>
  <si>
    <t>OXYE</t>
  </si>
  <si>
    <t>Oxypora</t>
  </si>
  <si>
    <t>OXYP</t>
  </si>
  <si>
    <t>PACE</t>
  </si>
  <si>
    <t>Pachyseris</t>
  </si>
  <si>
    <t>PACF</t>
  </si>
  <si>
    <t>PACP</t>
  </si>
  <si>
    <t>PAVB</t>
  </si>
  <si>
    <t>PAVC</t>
  </si>
  <si>
    <t>PAVE</t>
  </si>
  <si>
    <t>PAVF</t>
  </si>
  <si>
    <t>PAVM</t>
  </si>
  <si>
    <t>PECB</t>
  </si>
  <si>
    <t>Pectinia</t>
  </si>
  <si>
    <t>PECE</t>
  </si>
  <si>
    <t>PECM</t>
  </si>
  <si>
    <t>PECP</t>
  </si>
  <si>
    <t>PECS</t>
  </si>
  <si>
    <t>PHYM</t>
  </si>
  <si>
    <t>Physogyra</t>
  </si>
  <si>
    <t>PASE</t>
  </si>
  <si>
    <t>Phymastrea</t>
  </si>
  <si>
    <t>PASM</t>
  </si>
  <si>
    <t>PLAE</t>
  </si>
  <si>
    <t>PLAM</t>
  </si>
  <si>
    <t>PLAS</t>
  </si>
  <si>
    <t>PLEB</t>
  </si>
  <si>
    <t>Plerogyra</t>
  </si>
  <si>
    <t>PLSM</t>
  </si>
  <si>
    <t>POCB</t>
  </si>
  <si>
    <t>POCS</t>
  </si>
  <si>
    <t>PODE</t>
  </si>
  <si>
    <t>Podabacia</t>
  </si>
  <si>
    <t>PODP</t>
  </si>
  <si>
    <t>POL</t>
  </si>
  <si>
    <t>Polyphyllia</t>
  </si>
  <si>
    <t>PORB</t>
  </si>
  <si>
    <t>PORC</t>
  </si>
  <si>
    <t>PORE</t>
  </si>
  <si>
    <t>PORM</t>
  </si>
  <si>
    <t>PORS</t>
  </si>
  <si>
    <t>POPE</t>
  </si>
  <si>
    <t>Poritipora</t>
  </si>
  <si>
    <t>POPM</t>
  </si>
  <si>
    <t>PSAB</t>
  </si>
  <si>
    <t>PSAC</t>
  </si>
  <si>
    <t>PSAE</t>
  </si>
  <si>
    <t>PSAM</t>
  </si>
  <si>
    <t>PSAP</t>
  </si>
  <si>
    <t>PSAS</t>
  </si>
  <si>
    <t>SERB</t>
  </si>
  <si>
    <t>SIDE</t>
  </si>
  <si>
    <t>Siderastrea</t>
  </si>
  <si>
    <t>SIDM</t>
  </si>
  <si>
    <t>STCC</t>
  </si>
  <si>
    <t>Stylocoeniella</t>
  </si>
  <si>
    <t>STCE</t>
  </si>
  <si>
    <t>STCS</t>
  </si>
  <si>
    <t>STYB</t>
  </si>
  <si>
    <t>STYS</t>
  </si>
  <si>
    <t>SYME</t>
  </si>
  <si>
    <t>Symphyllia</t>
  </si>
  <si>
    <t>SYMM</t>
  </si>
  <si>
    <t>TURB</t>
  </si>
  <si>
    <t>TURE</t>
  </si>
  <si>
    <t>TURF</t>
  </si>
  <si>
    <t>TURP</t>
  </si>
  <si>
    <t>SD</t>
  </si>
  <si>
    <t>Mean extension rate (cm/yr)</t>
  </si>
  <si>
    <t>MILE</t>
  </si>
  <si>
    <t>MILB</t>
  </si>
  <si>
    <t>CTN</t>
  </si>
  <si>
    <t>CYC</t>
  </si>
  <si>
    <t>3 colonies (102 branches)</t>
  </si>
  <si>
    <t>Growth rate range (cm/yr)</t>
  </si>
  <si>
    <t>Mean/median growth rate (cm/yr)</t>
  </si>
  <si>
    <t>Mean/median density (g/cm^3)</t>
  </si>
  <si>
    <t>Direct diameter measure</t>
  </si>
  <si>
    <t>transplantation experiment, growth rates less during initial 7 months</t>
  </si>
  <si>
    <t>error is SD, some colonies shaded by A. hyacinthus, diameter/2 for linear extension</t>
  </si>
  <si>
    <t>Direct diameter measurement</t>
  </si>
  <si>
    <t>Code</t>
  </si>
  <si>
    <t>high sedimentation at beginning of study, only use Apr-Aug value*3</t>
  </si>
  <si>
    <t>without high sedimentation site, average over wet and dry season</t>
  </si>
  <si>
    <t>without high sedimentation site</t>
  </si>
  <si>
    <t>only controls, not transplants</t>
  </si>
  <si>
    <t>cylindrica (as andrewsi)</t>
  </si>
  <si>
    <t>only controls, no transplants</t>
  </si>
  <si>
    <t>1.9-3.1</t>
  </si>
  <si>
    <t>Direct measurement/Archimedes bath</t>
  </si>
  <si>
    <t>5-15m</t>
  </si>
  <si>
    <t>0.95-13.8</t>
  </si>
  <si>
    <t>average over 3 and 10 m, without 20 and 25 m sites</t>
  </si>
  <si>
    <t>3-10m</t>
  </si>
  <si>
    <t>reef flat and slope</t>
  </si>
  <si>
    <t>average over 5 and 15 m, without 30 m site</t>
  </si>
  <si>
    <t>0.5-1.3</t>
  </si>
  <si>
    <t>only control site, no transplants, only heads, no nubbins</t>
  </si>
  <si>
    <t>height, error is SD</t>
  </si>
  <si>
    <t>expansion, error is SD</t>
  </si>
  <si>
    <t>Edmondson, C.H. 1929. Growth of Hawaiian corals. Bishop Museum Bulletins 58, 1–38. In Jokeil &amp; Tyler (1992)</t>
  </si>
  <si>
    <t>0.13-3.33</t>
  </si>
  <si>
    <t>0.9-1.7</t>
  </si>
  <si>
    <t>Taiwan</t>
  </si>
  <si>
    <t>Orchid Island</t>
  </si>
  <si>
    <t>exetrnal growth bands</t>
  </si>
  <si>
    <t>average thickness, expansion, height</t>
  </si>
  <si>
    <t>0.3-1.8</t>
  </si>
  <si>
    <t>average height &amp; expansion</t>
  </si>
  <si>
    <t>1.1-2.5</t>
  </si>
  <si>
    <t>agassizi</t>
  </si>
  <si>
    <t>Cyphastrea (as Leptastrea)</t>
  </si>
  <si>
    <t>ISOB</t>
  </si>
  <si>
    <t>MOPB</t>
  </si>
  <si>
    <t>MOPF</t>
  </si>
  <si>
    <t>pulchra</t>
  </si>
  <si>
    <t>1.7-8.3m</t>
  </si>
  <si>
    <t>average over depth</t>
  </si>
  <si>
    <t>1.7-8m</t>
  </si>
  <si>
    <t>average over depths</t>
  </si>
  <si>
    <t>Hawaii, Coconut Island, Point reef</t>
  </si>
  <si>
    <t>Hawaii, Patch reef #41</t>
  </si>
  <si>
    <t>0-3m</t>
  </si>
  <si>
    <t>Hawaii, N Kaneohe Bay, Patch Reef #42</t>
  </si>
  <si>
    <t>only uncaged treatment</t>
  </si>
  <si>
    <t>Hawaii, N Kaneohe Bay, Patch Reff #42</t>
  </si>
  <si>
    <t>only uncaged treatments</t>
  </si>
  <si>
    <t>1.2-1.4</t>
  </si>
  <si>
    <t>Ser 26:295–300</t>
  </si>
  <si>
    <t>Glynn PW (1985) El Nin˜o-associated disturbance to coral reefs and post disturbance mortality by Acanthaster planci. Mar Ecol Prog Ser 26:295–300</t>
  </si>
  <si>
    <t>X-radiography/density bands</t>
  </si>
  <si>
    <t>non-upwelling</t>
  </si>
  <si>
    <t>0.8-1.1</t>
  </si>
  <si>
    <t>Matthews KA, Grottoli AG, McDonough WF, Palardy JE (2008) Upwelling, species, and depth effects on coral skeletal cadmiumto-calcium ratios (Cd/Ca). Geochim Cosmochim Acta 72: 4537–4550</t>
  </si>
  <si>
    <t>average over 1 and 7 m sites. Repeated staining.</t>
  </si>
  <si>
    <t>0.9-1.45</t>
  </si>
  <si>
    <t>1.25-1.47</t>
  </si>
  <si>
    <t>Galapagos, Onslow Island</t>
  </si>
  <si>
    <t>Glynn PW (1977) Coral growth in upwelling and nonupwelling areas off the Pacific coast of Panama´. J Mar Res 35:567–585. In Manzello et al. 2010</t>
  </si>
  <si>
    <t>Saboga Reef</t>
  </si>
  <si>
    <t>2.55-3.61</t>
  </si>
  <si>
    <t>3.39-4.33</t>
  </si>
  <si>
    <t>3.3-4.6m</t>
  </si>
  <si>
    <t>3.2m</t>
  </si>
  <si>
    <t>Secas Island</t>
  </si>
  <si>
    <t>only ambient, not treatments, average over depths 1-2m and 7-10m</t>
  </si>
  <si>
    <t>4.43-5.93</t>
  </si>
  <si>
    <t>1-2m, 7-10m</t>
  </si>
  <si>
    <t>Pearl islands, Isla Contadora</t>
  </si>
  <si>
    <t>average over depths 2-3m and 8-10m</t>
  </si>
  <si>
    <t>1.37-4.37</t>
  </si>
  <si>
    <t>2-3m, 8-10m</t>
  </si>
  <si>
    <t>3m, 6m</t>
  </si>
  <si>
    <t>2.76-4.08</t>
  </si>
  <si>
    <t>average over depths 3m and 6m</t>
  </si>
  <si>
    <t>5m, 15m</t>
  </si>
  <si>
    <t>mean from range</t>
  </si>
  <si>
    <t>only ambient, no treatments, average over depths 1-2m and 7-10m</t>
  </si>
  <si>
    <t>1.2-2.3</t>
  </si>
  <si>
    <t>0.8-1.95</t>
  </si>
  <si>
    <t>range from 1980-2008, mean from 2008 (lowest)</t>
  </si>
  <si>
    <t>7-11m</t>
  </si>
  <si>
    <t>sheltered-exposed</t>
  </si>
  <si>
    <t>Houthman Albrolhos, 4 sites</t>
  </si>
  <si>
    <t>average over four sites with different wave exposure</t>
  </si>
  <si>
    <t>5.0-7.6</t>
  </si>
  <si>
    <t>lagoon, channel</t>
  </si>
  <si>
    <t>sedimentation from tin-dredging, no difference to control, average from range</t>
  </si>
  <si>
    <r>
      <t>Stimson, J. (1996). Wave-like outward growth or some table and plate-forming corals, and a hypothetical mechanism. </t>
    </r>
    <r>
      <rPr>
        <i/>
        <sz val="10"/>
        <color rgb="FF222222"/>
        <rFont val="Arial"/>
        <family val="2"/>
      </rPr>
      <t>Bulletin of Marine Science</t>
    </r>
    <r>
      <rPr>
        <sz val="10"/>
        <color rgb="FF222222"/>
        <rFont val="Arial"/>
        <family val="2"/>
      </rPr>
      <t> , </t>
    </r>
    <r>
      <rPr>
        <i/>
        <sz val="10"/>
        <color rgb="FF222222"/>
        <rFont val="Arial"/>
        <family val="2"/>
      </rPr>
      <t>58</t>
    </r>
    <r>
      <rPr>
        <sz val="10"/>
        <color rgb="FF222222"/>
        <rFont val="Arial"/>
        <family val="2"/>
      </rPr>
      <t> (1), 301-313.</t>
    </r>
  </si>
  <si>
    <t>under review</t>
  </si>
  <si>
    <t>serailia</t>
  </si>
  <si>
    <t>5-19m</t>
  </si>
  <si>
    <t>average over different depths, different methods</t>
  </si>
  <si>
    <t>6.5-8m</t>
  </si>
  <si>
    <t>0.6-1.0</t>
  </si>
  <si>
    <t>4-10m</t>
  </si>
  <si>
    <t>1-30m</t>
  </si>
  <si>
    <t>0.14-1.2</t>
  </si>
  <si>
    <t>6.5-7m</t>
  </si>
  <si>
    <t>0.5-0.8</t>
  </si>
  <si>
    <t>3-30m</t>
  </si>
  <si>
    <t>7-18m</t>
  </si>
  <si>
    <t>8m</t>
  </si>
  <si>
    <t>X-radiography/Density bands</t>
  </si>
  <si>
    <t>FUN</t>
  </si>
  <si>
    <t>lagoonal patch reef</t>
  </si>
  <si>
    <t xml:space="preserve">Babcock R (1988) Age-structure, survivorship and fecundity in populations of massive corals. Proc 6th int coral Reef Symp. </t>
  </si>
  <si>
    <t>Odum, H. T., &amp; Odum, E. P. (1955). Trophic structure and productivity of a windward coral reef community on Eniwetok Atoll. Ecological monographs, 25(3), 291-320.</t>
  </si>
  <si>
    <t>branching/encrusting</t>
  </si>
  <si>
    <t>MILB/E</t>
  </si>
  <si>
    <t>gross density of polyp zone</t>
  </si>
  <si>
    <t>TURF/P</t>
  </si>
  <si>
    <t>OUAE</t>
  </si>
  <si>
    <t>only controls</t>
  </si>
  <si>
    <t>high-latitude reef</t>
  </si>
  <si>
    <t>1.0-2.9</t>
  </si>
  <si>
    <t>average over depths 5m and 15m</t>
  </si>
  <si>
    <t>without ETP</t>
  </si>
  <si>
    <t>1.93-3.86</t>
  </si>
  <si>
    <t>species only in ETP, error is SD</t>
  </si>
  <si>
    <t>density bands</t>
  </si>
  <si>
    <t>PLSM/S</t>
  </si>
  <si>
    <t>4. Only data from corals that were stained/sampled in situ were used. From studies that experimentally manipulated depth, light availability etc. we only report data for controls as indicated in the notes section.</t>
  </si>
  <si>
    <t>only areas without growth anomalies</t>
  </si>
  <si>
    <t>branching/digitate</t>
  </si>
  <si>
    <t>Klein R, Loya Y (1991) Skeletal growth and density patterns of two Porites corals from the Gulf of Eilat, Red Sea. Mar Ecol Prog Ser Oldend 77: 253–259.</t>
  </si>
  <si>
    <t>average over two growth axes</t>
  </si>
  <si>
    <t>0.7-1.2</t>
  </si>
  <si>
    <t>1.1-1.6</t>
  </si>
  <si>
    <t>average over depths 3m, 6m, 10m, 12m without 24m and 50m</t>
  </si>
  <si>
    <t>3-12m</t>
  </si>
  <si>
    <t>5. If a study listed values from different depths, these were averaged as indicated in the note section. Depths &gt;15 m were excluded.</t>
  </si>
  <si>
    <t>Only controls, no transplants, average over upward and lateral growth</t>
  </si>
  <si>
    <t>Alizarine Red stain/Archimedes bath</t>
  </si>
  <si>
    <t>1 core over 16 years</t>
  </si>
  <si>
    <t>average over 13 sites</t>
  </si>
  <si>
    <t>nuclear testing zone, average from range</t>
  </si>
  <si>
    <t>0.87-1.44</t>
  </si>
  <si>
    <t>average over all MSS sites</t>
  </si>
  <si>
    <t>1-15m</t>
  </si>
  <si>
    <t>only control site</t>
  </si>
  <si>
    <t>Sowa, K., &amp; Watanabe, T. (2013). Estimation of uncertainty for massive Porites coral skeletal density. JAMSTEC Report of …, 16; 31–39. Retrieved from http://www.godac.jamstec.go.jp/catalog/data/doc_catalog/media/JAM_RandD16_04.pdf</t>
  </si>
  <si>
    <t>average over 4 sites</t>
  </si>
  <si>
    <t>average over male and female colonies, over four sites</t>
  </si>
  <si>
    <t>midshelf</t>
  </si>
  <si>
    <t>offshore</t>
  </si>
  <si>
    <t>average over cores across the Gulf of Aqaba</t>
  </si>
  <si>
    <t>average over 5 cores</t>
  </si>
  <si>
    <t>submassive/encrusting</t>
  </si>
  <si>
    <t>PSAE/S</t>
  </si>
  <si>
    <t>frondose/plating</t>
  </si>
  <si>
    <t>use Leptastrea (encrusting Faviidae)</t>
  </si>
  <si>
    <t>HYDC</t>
  </si>
  <si>
    <t>HYDC/M/S</t>
  </si>
  <si>
    <t>columnar/massive/submassive</t>
  </si>
  <si>
    <t>Isopora</t>
  </si>
  <si>
    <t>ISOE</t>
  </si>
  <si>
    <t>ISOC</t>
  </si>
  <si>
    <t>ISOP</t>
  </si>
  <si>
    <t>ISOS</t>
  </si>
  <si>
    <t>ECPP</t>
  </si>
  <si>
    <t>foliose/frondose</t>
  </si>
  <si>
    <t>ASRC</t>
  </si>
  <si>
    <t>ASRS</t>
  </si>
  <si>
    <t>PASS</t>
  </si>
  <si>
    <t>OXYF</t>
  </si>
  <si>
    <t>PLSE</t>
  </si>
  <si>
    <t>PLEM</t>
  </si>
  <si>
    <t>substitute extension</t>
  </si>
  <si>
    <t>substitute density</t>
  </si>
  <si>
    <t>average over Fungiidae for all mushroom corals</t>
  </si>
  <si>
    <t>EUPM</t>
  </si>
  <si>
    <t>Pandora, Havannah Reef</t>
  </si>
  <si>
    <t>1980-2005 values</t>
  </si>
  <si>
    <t>Stopnitzky, S (2010) Millenial-scale record of Goniopora spp. coral growth rates from the inshore Great Barrier Reef reveals a long-term decline and recent recovery trajectory. Honours Thesis, University of Queensland. Available at http://shaneestopnitzky.weebly.com/uploads/1/0/3/6/1036603/stopnitzky_2010_-_honours_thesis.pdf</t>
  </si>
  <si>
    <t>includes Eastern Tropical Pacific studies where growth rates of Pocillopora are very high</t>
  </si>
  <si>
    <t>thick encrusting plates &gt;OULM</t>
  </si>
  <si>
    <t>thick fingerlike branches &gt;PAVC</t>
  </si>
  <si>
    <t>Great Barrier Reef</t>
  </si>
  <si>
    <t>thick branches may become submassive &gt;STYB</t>
  </si>
  <si>
    <t>tubular corallites on plates may form branches &gt;TURP</t>
  </si>
  <si>
    <t>attached plates &gt;TURP</t>
  </si>
  <si>
    <t>additional growth data</t>
  </si>
  <si>
    <t>0.02-0.14</t>
  </si>
  <si>
    <t>0.48-1.32</t>
  </si>
  <si>
    <t>Pari, N., Peyrot-Clausade, M., Le Campion-Alsumard, TA, Hutchings, P., Chazottes, V., Golubic, S., ... &amp; Fontaine, MF (1998). Bioerosion of experimental substrates on high islands and on atoll lagoons (French Polynesia) after two years of exposure. Marine Ecology Progress Series , 166 , 119-130.</t>
  </si>
  <si>
    <t>Takapoto 1+2</t>
  </si>
  <si>
    <t>Tikehau 1+2</t>
  </si>
  <si>
    <t>close to river mouth</t>
  </si>
  <si>
    <t>thick encrusting plates &gt;GOPM</t>
  </si>
  <si>
    <t>sometimes with upward projecting branches</t>
  </si>
  <si>
    <t>did not investigate what grew on the blocks. 2 years exposure</t>
  </si>
  <si>
    <t>did not investigate what grew on the blocks. 2 years exposure. Average over two sites at the same island</t>
  </si>
  <si>
    <t>only controls (with grazing)</t>
  </si>
  <si>
    <t>PVC pipes</t>
  </si>
  <si>
    <t>1 year exposure</t>
  </si>
  <si>
    <t>microatolls</t>
  </si>
  <si>
    <t>Chazottes, V., Hutchings, P., &amp; Osorno, A. (2017). Impact of an experimental eutrophication on the processes of bioerosion on the reef: One Tree Island, Great Barrier Reef, Australia. Marine pollution bulletin, 118(1-2), 125-130.</t>
  </si>
  <si>
    <t>Faaa + Atimaono</t>
  </si>
  <si>
    <t>5 years of exposure</t>
  </si>
  <si>
    <t>5 years of exposure. Average over two sites at the same lagoon</t>
  </si>
  <si>
    <t>did not investigate what grew on the blocks. 2 years exposure. Average over two sites at the same lagoon</t>
  </si>
  <si>
    <t>Atimaono</t>
  </si>
  <si>
    <t>average over exposed and cryptic. 13 months exposure</t>
  </si>
  <si>
    <t>average over different tile materials and orientation vertical/horizontal. 6 months deployment</t>
  </si>
  <si>
    <t>fore reef slope</t>
  </si>
  <si>
    <t>backreef</t>
  </si>
  <si>
    <t>4.7-6.5m</t>
  </si>
  <si>
    <t>&lt;4m</t>
  </si>
  <si>
    <t>1.4m</t>
  </si>
  <si>
    <t>Chisholm, J. R., Collingwood, J. C., &amp; Gill, E. F. (1990). A novel in situ respirometer for investigating photosynthesis and calcification in crustose coralline algae. Journal of experimental marine biology and ecology, 141(1), 15-29.</t>
  </si>
  <si>
    <t>Lizard Island</t>
  </si>
  <si>
    <t>0-6m</t>
  </si>
  <si>
    <t>Respirometry</t>
  </si>
  <si>
    <t>Hydrolithon</t>
  </si>
  <si>
    <t>Neogomiolithon</t>
  </si>
  <si>
    <t>only control (light exposed). 6 months exposure. Rate very high due to high density?</t>
  </si>
  <si>
    <t>Short, J., Foster, T., Falter, J., Kendrick, G. A., &amp; McCulloch, M. T. (2015). Crustose coralline algal growth, calcification and mortality following a marine heatwave in Western Australia. Continental Shelf Research, 106, 38-44.</t>
  </si>
  <si>
    <t>Westerrn Australia</t>
  </si>
  <si>
    <t>Marmion Lagoon</t>
  </si>
  <si>
    <t>temperate</t>
  </si>
  <si>
    <t>5-6m</t>
  </si>
  <si>
    <t>Buoyant-weight</t>
  </si>
  <si>
    <t>Assumed density (g/cm^3)</t>
  </si>
  <si>
    <t>HCF+HCP</t>
  </si>
  <si>
    <t>only control sites. 2 years exposure</t>
  </si>
  <si>
    <t>Only outer islands. 4 years of exposure</t>
  </si>
  <si>
    <t>average over both cohorts without initial interval. 1 year exposure</t>
  </si>
  <si>
    <t>measured net production over 24 h, without any erosion</t>
  </si>
  <si>
    <t>all encrusters</t>
  </si>
  <si>
    <t>Agegian, C. R. (1981). Growth of the branched coralline alga, Porolithon gardineri (Foslie), in the Hawaiian archipelago. In Proceedings of the 4th International Coral Reef Symposium (pp. 419-423).</t>
  </si>
  <si>
    <t>&gt;1 year exposure</t>
  </si>
  <si>
    <t>ID</t>
  </si>
  <si>
    <t>Time of exposure</t>
  </si>
  <si>
    <t>Macrobioerosion range (kg/m2/yr)</t>
  </si>
  <si>
    <t>Macrobioersion rate (kg/m2/yr)</t>
  </si>
  <si>
    <t>SE/SD</t>
  </si>
  <si>
    <t>Microbioerosion range (kg/m2/yr)</t>
  </si>
  <si>
    <t>Microbioersion rate (kg/m2/yr)</t>
  </si>
  <si>
    <t>Grazing range (kg/m2/yr)</t>
  </si>
  <si>
    <t>Grazing rate (kg/m2/yr)</t>
  </si>
  <si>
    <t>Total bioersion rate (kg m-2 year-1)</t>
  </si>
  <si>
    <t>SE</t>
  </si>
  <si>
    <t>image analysis Porites blocks</t>
  </si>
  <si>
    <t>4 years</t>
  </si>
  <si>
    <t>0.039-0.269</t>
  </si>
  <si>
    <t>6 sites</t>
  </si>
  <si>
    <t>0.121-1.853</t>
  </si>
  <si>
    <t>Snapper, Low Isles, Lizard I, Harrier, Ribbon, Osprey Islands</t>
  </si>
  <si>
    <t>6 islands along gradient</t>
  </si>
  <si>
    <t>Patterns and rates of erosion in dead Porites across the Great Barrier Reef (Australia) after 2 years and 4 years of exposure</t>
  </si>
  <si>
    <t>image analysis, SEM Porites blocks</t>
  </si>
  <si>
    <t>2 years</t>
  </si>
  <si>
    <t>patch reefs on barrier reef flat</t>
  </si>
  <si>
    <t>2.5</t>
  </si>
  <si>
    <t>Tiahura, Moorea</t>
  </si>
  <si>
    <t>Chazottes, V., Le Campion-Alsumard, T., &amp; Peyrot-Clausade, M. (1995). Bioerosion rates on coral reefs: interactions between macroborers, microborers and grazers (Moorea, French Polynesia). Palaeogeography, Palaeoclimatology, Palaeoecology, 113(2-4), 189-198.</t>
  </si>
  <si>
    <t>image analyses, Porites branches</t>
  </si>
  <si>
    <t>6 years</t>
  </si>
  <si>
    <t>different exposure to fishing, collection of dead skeleton from bleaching 1998</t>
  </si>
  <si>
    <t>8 sites, 6/site</t>
  </si>
  <si>
    <t>back-reef</t>
  </si>
  <si>
    <t>0.5-2</t>
  </si>
  <si>
    <t>8 reefs along coast</t>
  </si>
  <si>
    <t>3a</t>
  </si>
  <si>
    <t>unfished sites</t>
  </si>
  <si>
    <t>4 sites, 6/site</t>
  </si>
  <si>
    <t>3b</t>
  </si>
  <si>
    <t>fished sites</t>
  </si>
  <si>
    <t>3 years</t>
  </si>
  <si>
    <t>gradient across shelf</t>
  </si>
  <si>
    <t>0.040-0.387</t>
  </si>
  <si>
    <t>0.077-0.473</t>
  </si>
  <si>
    <t>0.063-1.797</t>
  </si>
  <si>
    <t>Tribollet, A., &amp; Golubic, S. (2005). Cross-shelf differences in the pattern and pace of bioerosion of experimental carbonate substrates exposed for 3 years on the northern Great Barrier Reef, Australia. Coral reefs, 24(3), 422-434.</t>
  </si>
  <si>
    <t>4b</t>
  </si>
  <si>
    <t>only outer islands</t>
  </si>
  <si>
    <t>4 sites</t>
  </si>
  <si>
    <t>Lizard I, Harrier, Ribbon, Osprey Islands</t>
  </si>
  <si>
    <t>4 offshore islands</t>
  </si>
  <si>
    <t>CT Scans</t>
  </si>
  <si>
    <t>N/A</t>
  </si>
  <si>
    <t>11 locations across Pacific basin</t>
  </si>
  <si>
    <t>11 sites</t>
  </si>
  <si>
    <t>mostly fringing reefs</t>
  </si>
  <si>
    <t>1-18</t>
  </si>
  <si>
    <t>Palau, Wake, Palmyra, Panama, Rose Atoll</t>
  </si>
  <si>
    <t>all the below</t>
  </si>
  <si>
    <t>DeCarlo, T. M., Cohen, A. L., Barkley, H. C., Cobban, Q., Young, C., Shamberger, K. E., ... &amp; Golbuu, Y. (2015). Coral macrobioerosion is accelerated by ocean acidification and nutrients. Geology, 43(1), 7-10.</t>
  </si>
  <si>
    <t>5a</t>
  </si>
  <si>
    <t>time span of core</t>
  </si>
  <si>
    <t>in living Porites colonies</t>
  </si>
  <si>
    <t>0.012-0.17</t>
  </si>
  <si>
    <t>fringing/bay/barrier</t>
  </si>
  <si>
    <t>1-8</t>
  </si>
  <si>
    <t>Nikko Bay, Risong, Airai, Uchelbeluu</t>
  </si>
  <si>
    <t>gradient in Ω, low nutrient</t>
  </si>
  <si>
    <t>5b</t>
  </si>
  <si>
    <t>2 sites</t>
  </si>
  <si>
    <t>lagoon, fringing</t>
  </si>
  <si>
    <t>4-15</t>
  </si>
  <si>
    <t>American Samoa, Micronesia</t>
  </si>
  <si>
    <t>Rose, Wake Atoll</t>
  </si>
  <si>
    <t>high Ω, low nutrient</t>
  </si>
  <si>
    <t>5c</t>
  </si>
  <si>
    <t>0-0.27</t>
  </si>
  <si>
    <t>3 sites</t>
  </si>
  <si>
    <t>5-18</t>
  </si>
  <si>
    <t>Palmyra Atoll, Kingman Reef, Jarvis Island</t>
  </si>
  <si>
    <t>Central Pacific, equatorial upwelling, low Ω</t>
  </si>
  <si>
    <t>5d</t>
  </si>
  <si>
    <t>0.65-0.68</t>
  </si>
  <si>
    <t>fringing</t>
  </si>
  <si>
    <t>3-6</t>
  </si>
  <si>
    <t>Pearls Island, Taboga Reef</t>
  </si>
  <si>
    <t>coastal upwelling, low Ω, high nutrient</t>
  </si>
  <si>
    <t>Easter Tropical Pacific</t>
  </si>
  <si>
    <t>Image analyses, Porites blocks</t>
  </si>
  <si>
    <t>5 years</t>
  </si>
  <si>
    <t>1.27-2.49</t>
  </si>
  <si>
    <t>lagoon and fringing</t>
  </si>
  <si>
    <t>Faaa, Atimaono, Moorea, Takapoto, Tikehau</t>
  </si>
  <si>
    <t>calm</t>
  </si>
  <si>
    <t>Pari, N., Peyrot-Clausade, M., &amp; Hutchings, P. A. (2002). Bioerosion of experimental substrates on high islands and atoll lagoons (French Polynesia) during 5 years of exposure. Journal of Experimental Marine Biology and Ecology, 276(1-2), 109-127.</t>
  </si>
  <si>
    <t>1 year</t>
  </si>
  <si>
    <t>nutrient gradient, average over reef flat to back reef</t>
  </si>
  <si>
    <t>0.007-0.032</t>
  </si>
  <si>
    <t>3 sites, 3/site</t>
  </si>
  <si>
    <t>0.044-0.067</t>
  </si>
  <si>
    <t>1.633-3.517</t>
  </si>
  <si>
    <t>inner reef flat, outer reef flat, back-reef</t>
  </si>
  <si>
    <t>Seychelles</t>
  </si>
  <si>
    <t>La Saline</t>
  </si>
  <si>
    <t>gradient in nutrients</t>
  </si>
  <si>
    <t>Indian Ocean</t>
  </si>
  <si>
    <t>Chazottes V, Le Campion-Alsumard T, Peyrot-Clausade M and Cuet P (2002) The effects of eutrophication-related alterations to coral reef communities on agents and rates of bioerosion (Reunion Island, Indian Ocean). Coral Reefs 21: 375-389</t>
  </si>
  <si>
    <t>7a</t>
  </si>
  <si>
    <t>Imgae analyses, Porites blocks</t>
  </si>
  <si>
    <t>nutrient gradient, reef flat</t>
  </si>
  <si>
    <t>3 sites, 2/site</t>
  </si>
  <si>
    <t>La Saline, Reunion Island</t>
  </si>
  <si>
    <t>Chazottes V, Le Campion-Alsumard T, Peyrot-Clausade M and Cuet P (2002) The effects of eutrophication-related alterations to coral reef communities on agents and rates of bioerosion (Reunion Island, Indian Ocean). Coral Reefs 21: 375-390</t>
  </si>
  <si>
    <t>7b</t>
  </si>
  <si>
    <t>nutrient gradient, back reef</t>
  </si>
  <si>
    <t>3 sites, 1/site</t>
  </si>
  <si>
    <t>5 sites</t>
  </si>
  <si>
    <t>Chazottes V, Le Campion-Alsumard T, Peyrot-Clausade M and Cuet P (2002) The effects of eutrophication-related alterations to coral reef communities on agents and rates of bioerosion (Reunion Island, Indian Ocean). Coral Reefs 21: 375-391</t>
  </si>
  <si>
    <t>control sites of ENCORE (nutrient enrichment) experiment; error is SD</t>
  </si>
  <si>
    <t>micro-atolls in lagoon</t>
  </si>
  <si>
    <t>3-7</t>
  </si>
  <si>
    <t>9a</t>
  </si>
  <si>
    <t>weight measurement Porites blocks</t>
  </si>
  <si>
    <t>only sites protected from internal waves 9 m</t>
  </si>
  <si>
    <t>Koh Miang, Similian Islands</t>
  </si>
  <si>
    <t>East side, protected from monsoon</t>
  </si>
  <si>
    <t>Schmidt, G. M., &amp; Richter, C. (2013). Coral growth and bioerosion of Porites lutea in response to large amplitude internal waves. PloS one, 8(12), e73236.</t>
  </si>
  <si>
    <t>9b</t>
  </si>
  <si>
    <t>only sites protected from internal waves 20 m</t>
  </si>
  <si>
    <t>CT scans</t>
  </si>
  <si>
    <t>nutrient gradient, in living Porites colonies</t>
  </si>
  <si>
    <t>0.22-0.99</t>
  </si>
  <si>
    <t>1-3</t>
  </si>
  <si>
    <t>Kahekili, Maui</t>
  </si>
  <si>
    <t>some close to underwater seep from wastewater facility (high nutrients)</t>
  </si>
  <si>
    <t>microCT scans, Porites blocks</t>
  </si>
  <si>
    <t>3?</t>
  </si>
  <si>
    <t>Kaneohe Bay, Oahu</t>
  </si>
  <si>
    <r>
      <t>Carreiro-Silva, M., &amp; McClanahan, T. (2012). Macrobioerosion of dead branching Porites, 4 and 6 years after coral mass mortality. </t>
    </r>
    <r>
      <rPr>
        <i/>
        <sz val="11"/>
        <color rgb="FF333333"/>
        <rFont val="Arial Narrow"/>
        <family val="2"/>
      </rPr>
      <t>Marine Ecology Progress Series,</t>
    </r>
    <r>
      <rPr>
        <sz val="11"/>
        <color rgb="FF333333"/>
        <rFont val="Arial Narrow"/>
        <family val="2"/>
      </rPr>
      <t> </t>
    </r>
    <r>
      <rPr>
        <i/>
        <sz val="11"/>
        <color rgb="FF333333"/>
        <rFont val="Arial Narrow"/>
        <family val="2"/>
      </rPr>
      <t>458</t>
    </r>
    <r>
      <rPr>
        <sz val="11"/>
        <color rgb="FF333333"/>
        <rFont val="Arial Narrow"/>
        <family val="2"/>
      </rPr>
      <t>, 103-122. Retrieved from http://www.jstor.org/stable/24876295</t>
    </r>
  </si>
  <si>
    <r>
      <t>Carreiro-Silva, M., &amp; McClanahan, T. (2012). Macrobioerosion of dead branching Porites, 4 and 6 years after coral mass mortality. </t>
    </r>
    <r>
      <rPr>
        <i/>
        <sz val="11"/>
        <color rgb="FFBFBFBF"/>
        <rFont val="Arial Narrow"/>
        <family val="2"/>
      </rPr>
      <t>Marine Ecology Progress Series,</t>
    </r>
    <r>
      <rPr>
        <sz val="11"/>
        <color rgb="FFBFBFBF"/>
        <rFont val="Arial Narrow"/>
        <family val="2"/>
      </rPr>
      <t> </t>
    </r>
    <r>
      <rPr>
        <i/>
        <sz val="11"/>
        <color rgb="FFBFBFBF"/>
        <rFont val="Arial Narrow"/>
        <family val="2"/>
      </rPr>
      <t>458</t>
    </r>
    <r>
      <rPr>
        <sz val="11"/>
        <color rgb="FFBFBFBF"/>
        <rFont val="Arial Narrow"/>
        <family val="2"/>
      </rPr>
      <t>, 103-122. Retrieved from http://www.jstor.org/stable/24876295</t>
    </r>
  </si>
  <si>
    <r>
      <t>Chazottes, V., Hutchings, P., &amp; Osorno, A. (2017). Impact of an experimental eutrophication on the processes of bioerosion on the reef: One Tree Island, Great Barrier Reef, Australia. </t>
    </r>
    <r>
      <rPr>
        <i/>
        <sz val="11"/>
        <color rgb="FF222222"/>
        <rFont val="Arial Narrow"/>
        <family val="2"/>
      </rPr>
      <t>Marine pollution bulletin</t>
    </r>
    <r>
      <rPr>
        <sz val="11"/>
        <color rgb="FF222222"/>
        <rFont val="Arial Narrow"/>
        <family val="2"/>
      </rPr>
      <t>, </t>
    </r>
    <r>
      <rPr>
        <i/>
        <sz val="11"/>
        <color rgb="FF222222"/>
        <rFont val="Arial Narrow"/>
        <family val="2"/>
      </rPr>
      <t>118</t>
    </r>
    <r>
      <rPr>
        <sz val="11"/>
        <color rgb="FF222222"/>
        <rFont val="Arial Narrow"/>
        <family val="2"/>
      </rPr>
      <t>(1-2), 125-130.</t>
    </r>
  </si>
  <si>
    <r>
      <t>Prouty, N. G., Cohen, A., Yates, K. K., Storlazzi, C. D., Swarzenski, P. W., &amp; White, D. (2017). Vulnerability of Coral Reefs to Bioerosion From Land‐Based Sources of Pollution. </t>
    </r>
    <r>
      <rPr>
        <i/>
        <sz val="11"/>
        <color rgb="FF222222"/>
        <rFont val="Arial Narrow"/>
        <family val="2"/>
      </rPr>
      <t>Journal of Geophysical Research: Oceans</t>
    </r>
    <r>
      <rPr>
        <sz val="11"/>
        <color rgb="FF222222"/>
        <rFont val="Arial Narrow"/>
        <family val="2"/>
      </rPr>
      <t>.</t>
    </r>
  </si>
  <si>
    <r>
      <t>Silbiger, N. J., Guadayol, Ò., Thomas, F. I., &amp; Donahue, M. J. (2016). A novel μCT analysis reveals different responses of bioerosion and secondary accretion to environmental variability. </t>
    </r>
    <r>
      <rPr>
        <i/>
        <sz val="11"/>
        <color rgb="FF222222"/>
        <rFont val="Arial Narrow"/>
        <family val="2"/>
      </rPr>
      <t>PloS one</t>
    </r>
    <r>
      <rPr>
        <sz val="11"/>
        <color rgb="FF222222"/>
        <rFont val="Arial Narrow"/>
        <family val="2"/>
      </rPr>
      <t>, </t>
    </r>
    <r>
      <rPr>
        <i/>
        <sz val="11"/>
        <color rgb="FF222222"/>
        <rFont val="Arial Narrow"/>
        <family val="2"/>
      </rPr>
      <t>11</t>
    </r>
    <r>
      <rPr>
        <sz val="11"/>
        <color rgb="FF222222"/>
        <rFont val="Arial Narrow"/>
        <family val="2"/>
      </rPr>
      <t>(4), e0153058.</t>
    </r>
  </si>
  <si>
    <t>ALVS</t>
  </si>
  <si>
    <t>AN</t>
  </si>
  <si>
    <t>Anenome</t>
  </si>
  <si>
    <t>ART</t>
  </si>
  <si>
    <t>Articulated coralline algae</t>
  </si>
  <si>
    <t>BOR</t>
  </si>
  <si>
    <t>Boring sponge</t>
  </si>
  <si>
    <t>Crustose coralline algae</t>
  </si>
  <si>
    <t>COR</t>
  </si>
  <si>
    <t>Corallimorph</t>
  </si>
  <si>
    <t>CYA</t>
  </si>
  <si>
    <t>Cyanophyta</t>
  </si>
  <si>
    <t>DC</t>
  </si>
  <si>
    <t>Dead coral</t>
  </si>
  <si>
    <t>HA</t>
  </si>
  <si>
    <t>Halimeda</t>
  </si>
  <si>
    <t>HAL</t>
  </si>
  <si>
    <t>HER</t>
  </si>
  <si>
    <t>LSP</t>
  </si>
  <si>
    <t>Limestone pavement</t>
  </si>
  <si>
    <t>MAC</t>
  </si>
  <si>
    <t>Macroalgae</t>
  </si>
  <si>
    <t>MCA</t>
  </si>
  <si>
    <t>Macroalgae/CCA</t>
  </si>
  <si>
    <t>OCE</t>
  </si>
  <si>
    <t>Other calcareous encrusters</t>
  </si>
  <si>
    <t>OTH</t>
  </si>
  <si>
    <t>Other non-calcareous encrusters</t>
  </si>
  <si>
    <t>OTS</t>
  </si>
  <si>
    <t>Other sediment producers</t>
  </si>
  <si>
    <t>RCK</t>
  </si>
  <si>
    <t>Rock</t>
  </si>
  <si>
    <t>RUB</t>
  </si>
  <si>
    <t>Rubble</t>
  </si>
  <si>
    <t>RUBT</t>
  </si>
  <si>
    <t>Rubble/turf</t>
  </si>
  <si>
    <t>RUBC</t>
  </si>
  <si>
    <t>Sand</t>
  </si>
  <si>
    <t>SEA</t>
  </si>
  <si>
    <t>Seagrass</t>
  </si>
  <si>
    <t>SCA</t>
  </si>
  <si>
    <t>Soft coral/CCA</t>
  </si>
  <si>
    <t>SOC</t>
  </si>
  <si>
    <t>Soft coral</t>
  </si>
  <si>
    <t>SP</t>
  </si>
  <si>
    <t>Sponge</t>
  </si>
  <si>
    <t>TF</t>
  </si>
  <si>
    <t>Turf</t>
  </si>
  <si>
    <t>ZOO</t>
  </si>
  <si>
    <t>Zooanthid</t>
  </si>
  <si>
    <t>Rubble/CCA</t>
  </si>
  <si>
    <t>GBR</t>
  </si>
  <si>
    <t>mean</t>
  </si>
  <si>
    <t>predation not quantified, no initial settling period. 9 months exposure</t>
  </si>
  <si>
    <r>
      <t>CCA Calcification rate (g/cm</t>
    </r>
    <r>
      <rPr>
        <b/>
        <vertAlign val="superscript"/>
        <sz val="11"/>
        <color theme="1"/>
        <rFont val="Arial Narrow"/>
        <family val="2"/>
      </rPr>
      <t>2</t>
    </r>
    <r>
      <rPr>
        <b/>
        <sz val="11"/>
        <color theme="1"/>
        <rFont val="Arial Narrow"/>
        <family val="2"/>
      </rPr>
      <t>/yr)</t>
    </r>
  </si>
  <si>
    <r>
      <t>Bioerosion rates (kg/m</t>
    </r>
    <r>
      <rPr>
        <b/>
        <vertAlign val="superscript"/>
        <sz val="11"/>
        <color theme="1"/>
        <rFont val="Arial Narrow"/>
        <family val="2"/>
      </rPr>
      <t>2</t>
    </r>
    <r>
      <rPr>
        <b/>
        <sz val="11"/>
        <color theme="1"/>
        <rFont val="Arial Narrow"/>
        <family val="2"/>
      </rPr>
      <t>/yr)</t>
    </r>
  </si>
  <si>
    <t>Encrusters</t>
  </si>
  <si>
    <t>PVC tiles</t>
  </si>
  <si>
    <t>average over 4 sites and different depths (2, 5, 10m) + backreef, 1 year exposure</t>
  </si>
  <si>
    <t>Grey cells indicate studies that deployed substrates for &lt;1 year. The substantially higher calcification rates in all of these studies indicate that initial growth of calcifying algae is much higher than that by established communities. The default spreadsheet therefore uses only rates from studies that deployed substrates &gt;1 year, but this can be adapted as desired.</t>
  </si>
  <si>
    <t>fore reef , back reef</t>
  </si>
  <si>
    <t>2-10m</t>
  </si>
  <si>
    <t>bleaching</t>
  </si>
  <si>
    <t>Perry, C. (2016) unpublished data</t>
  </si>
  <si>
    <t>all sites</t>
  </si>
  <si>
    <t>6. Averages and standard deviation over available taxa-morphology rates as well as the average CCA calcification rates feed into the 'Coral taxa average rates' tab. Any further updates of the tab 'Coral growth-density rates' can be done by inserting lines above the average line and this should also update the 'Coral taxa average rates' tab at the same time.</t>
  </si>
  <si>
    <t>Macrobioerosion</t>
  </si>
  <si>
    <t>Microbioerosion</t>
  </si>
  <si>
    <t>Grazing</t>
  </si>
  <si>
    <t>6. If rates are updated, relevant data from the 'Coral taxa average rates' tab can then be copied into the 'Calcification Rates' tab in the main Data entry spreadsheet 'Indo-Pacific Carbonate Production'. Changes in  macro- &amp; microbioerosion rates have to be made by manually copying average values into the 'Macro &amp; Microbioerosion' tab of the main Data entry spreadsheet 'Indo-Pacific Carbonate Production'.</t>
  </si>
  <si>
    <t>grey text are subvalues for some  studies, these are not included in the average values</t>
  </si>
  <si>
    <t>Lobophylliidae</t>
  </si>
  <si>
    <t xml:space="preserve">Acanthastrea </t>
  </si>
  <si>
    <t>1.01 - 1.81</t>
  </si>
  <si>
    <t>Bouyant weight</t>
  </si>
  <si>
    <t>shallow reef</t>
  </si>
  <si>
    <t xml:space="preserve">Nearshore Singapore </t>
  </si>
  <si>
    <t>turbid, urbanised</t>
  </si>
  <si>
    <t>Ng, Chin Soon Lionel, et al. (2021) Coral community composition and carbonate production in an urbanized seascape. Marine Environmental Research 168: 105322.</t>
  </si>
  <si>
    <t>rotundoflora</t>
  </si>
  <si>
    <t>0.95 - 1.14</t>
  </si>
  <si>
    <t>1.18 - 1.40</t>
  </si>
  <si>
    <t>muricata</t>
  </si>
  <si>
    <t>0.69 - 0.92</t>
  </si>
  <si>
    <t xml:space="preserve">Caulastraea </t>
  </si>
  <si>
    <t>echinulata</t>
  </si>
  <si>
    <t xml:space="preserve">bouyant weight </t>
  </si>
  <si>
    <t>1.05 - 1.18</t>
  </si>
  <si>
    <t>Coelastrea</t>
  </si>
  <si>
    <t>bouyant weight</t>
  </si>
  <si>
    <t>Coscinaraeidae</t>
  </si>
  <si>
    <t>columna</t>
  </si>
  <si>
    <t>1.31 - 1.49</t>
  </si>
  <si>
    <t>microphthalma</t>
  </si>
  <si>
    <t>chalcidicum</t>
  </si>
  <si>
    <t>-</t>
  </si>
  <si>
    <t>1.20 - 1.55</t>
  </si>
  <si>
    <t>1.11 - 1.13</t>
  </si>
  <si>
    <t>Dipsastraea</t>
  </si>
  <si>
    <t>favus</t>
  </si>
  <si>
    <t>lizardensis</t>
  </si>
  <si>
    <t>matthaii</t>
  </si>
  <si>
    <t>maxima</t>
  </si>
  <si>
    <t>0.51 - 1.49</t>
  </si>
  <si>
    <t>0.71 - 1.07</t>
  </si>
  <si>
    <t>0.87 - 1.14</t>
  </si>
  <si>
    <t>1.01 - 1.09</t>
  </si>
  <si>
    <t>gemmacea</t>
  </si>
  <si>
    <t>2.79 - 3.18</t>
  </si>
  <si>
    <t>2.07 - 2.28</t>
  </si>
  <si>
    <t>1.19 - 1.79</t>
  </si>
  <si>
    <t>Euphylliidae</t>
  </si>
  <si>
    <t xml:space="preserve">Fimbriaphyllia </t>
  </si>
  <si>
    <t>ancora</t>
  </si>
  <si>
    <t>1.03 - 1.14</t>
  </si>
  <si>
    <t>abdita</t>
  </si>
  <si>
    <t>chinensis</t>
  </si>
  <si>
    <t>complanata</t>
  </si>
  <si>
    <t>halicora</t>
  </si>
  <si>
    <t>1.11- 1.48</t>
  </si>
  <si>
    <t>1.16 - 1.24</t>
  </si>
  <si>
    <t xml:space="preserve">1.13 - 1.81 </t>
  </si>
  <si>
    <t xml:space="preserve">Galaxea </t>
  </si>
  <si>
    <t>astreata</t>
  </si>
  <si>
    <t>fascicularis</t>
  </si>
  <si>
    <t>0.83-0.95</t>
  </si>
  <si>
    <t>Shi, Q., Zhao, M., Zhang, Q., Yu, K., Chen, T., Li, S., &amp; Wang, H. (2008). Estimate of carbonate production by scleractinian corals at Luhuitou fringing reef, Sanya, China. Chinese Science Bulletin, 54(4), 696–705. doi:10.1007/s11434-008-0533-8</t>
  </si>
  <si>
    <t>0.73 - 0.96</t>
  </si>
  <si>
    <t>0.87 - 1.34</t>
  </si>
  <si>
    <t>pectinata</t>
  </si>
  <si>
    <t>1.10 - 1.45</t>
  </si>
  <si>
    <t>1.14 - 1.44</t>
  </si>
  <si>
    <t>0.93 - 1.34</t>
  </si>
  <si>
    <t xml:space="preserve">Goniopora </t>
  </si>
  <si>
    <t>tenuidens</t>
  </si>
  <si>
    <t>minor</t>
  </si>
  <si>
    <t>0.86 - 1.01</t>
  </si>
  <si>
    <t>exesa</t>
  </si>
  <si>
    <t>0.72 - 1.28</t>
  </si>
  <si>
    <t>grandis</t>
  </si>
  <si>
    <t>1.33 - 1.46</t>
  </si>
  <si>
    <t>rigida</t>
  </si>
  <si>
    <t>1.23 - 1.45</t>
  </si>
  <si>
    <t>phrygia</t>
  </si>
  <si>
    <t>0.40 - 1.92</t>
  </si>
  <si>
    <t>0.77 - 1.05</t>
  </si>
  <si>
    <t xml:space="preserve">Lithophyllon </t>
  </si>
  <si>
    <t>undulatum</t>
  </si>
  <si>
    <t>0.36 - 0.51</t>
  </si>
  <si>
    <t>1.52 - 1.78</t>
  </si>
  <si>
    <t xml:space="preserve">Lobophyllia </t>
  </si>
  <si>
    <t>hemprichii</t>
  </si>
  <si>
    <t>radians</t>
  </si>
  <si>
    <t>recta</t>
  </si>
  <si>
    <t>1.08 - 1.30</t>
  </si>
  <si>
    <t>1.13 - 1.40</t>
  </si>
  <si>
    <t>1.00 - 1.21</t>
  </si>
  <si>
    <t>valenciennes</t>
  </si>
  <si>
    <t>laminar</t>
  </si>
  <si>
    <t>scabricula</t>
  </si>
  <si>
    <t>1.22 - 1.83</t>
  </si>
  <si>
    <t xml:space="preserve">digitate </t>
  </si>
  <si>
    <t>hispida</t>
  </si>
  <si>
    <t>0.87 - 1.28</t>
  </si>
  <si>
    <t>1.01 - 1.03</t>
  </si>
  <si>
    <t>grisea</t>
  </si>
  <si>
    <t xml:space="preserve"> informis</t>
  </si>
  <si>
    <t>0.63 - 1.02</t>
  </si>
  <si>
    <t xml:space="preserve">Mycedium </t>
  </si>
  <si>
    <t>elephantotus</t>
  </si>
  <si>
    <t>1.09 - 1.96</t>
  </si>
  <si>
    <t>bennettae</t>
  </si>
  <si>
    <t>crispa</t>
  </si>
  <si>
    <t>0.73 - 1.17</t>
  </si>
  <si>
    <t>0.79 - 1.11</t>
  </si>
  <si>
    <t xml:space="preserve">Oxypora </t>
  </si>
  <si>
    <t>lacera</t>
  </si>
  <si>
    <t>1.41 - 1.77</t>
  </si>
  <si>
    <t xml:space="preserve">Pachyseris </t>
  </si>
  <si>
    <t>rugosa</t>
  </si>
  <si>
    <t>encrusting/laminar</t>
  </si>
  <si>
    <t>1.20 - 1.45</t>
  </si>
  <si>
    <t>1.76 - 1.96</t>
  </si>
  <si>
    <t>decussata</t>
  </si>
  <si>
    <t>explanulata</t>
  </si>
  <si>
    <t>frondifera</t>
  </si>
  <si>
    <t>0.50 - 3.10</t>
  </si>
  <si>
    <t>0.20 - 1.05</t>
  </si>
  <si>
    <t>1.41 - 5.57</t>
  </si>
  <si>
    <t>1.51 - 1.82</t>
  </si>
  <si>
    <t>1.41 - 1.81</t>
  </si>
  <si>
    <t>1.37 - 1.77</t>
  </si>
  <si>
    <t xml:space="preserve">Pectinia </t>
  </si>
  <si>
    <t>crassa</t>
  </si>
  <si>
    <t>0.61 - 1.22</t>
  </si>
  <si>
    <t>1.16 - 1.35</t>
  </si>
  <si>
    <t>lactuca</t>
  </si>
  <si>
    <t>pini</t>
  </si>
  <si>
    <t>0.77 - 1.28</t>
  </si>
  <si>
    <t>0.81 - 1.09</t>
  </si>
  <si>
    <t>Plesiastreidae</t>
  </si>
  <si>
    <t xml:space="preserve">Plerogyra </t>
  </si>
  <si>
    <t>sinuosa</t>
  </si>
  <si>
    <t xml:space="preserve">Plesiastrea </t>
  </si>
  <si>
    <t>0.88 - 1.06</t>
  </si>
  <si>
    <t>0.87 - 1.26</t>
  </si>
  <si>
    <t>0.94 - 1.14</t>
  </si>
  <si>
    <t>contigua</t>
  </si>
  <si>
    <t>haimiana</t>
  </si>
  <si>
    <t>1.28 - 1.77</t>
  </si>
  <si>
    <t>1.27 - 1.60</t>
  </si>
  <si>
    <t>1.02 - 1.23</t>
  </si>
  <si>
    <t>Acanthophyllia</t>
  </si>
  <si>
    <t>caespitose</t>
  </si>
  <si>
    <t>ACRH</t>
  </si>
  <si>
    <t>hispidose</t>
  </si>
  <si>
    <t>ANAB</t>
  </si>
  <si>
    <t>Anacropora</t>
  </si>
  <si>
    <t>AUSB</t>
  </si>
  <si>
    <t>Australogyra</t>
  </si>
  <si>
    <t>AUMM</t>
  </si>
  <si>
    <t>BLAS</t>
  </si>
  <si>
    <t>Blastomussa</t>
  </si>
  <si>
    <t>Cantharellus</t>
  </si>
  <si>
    <t>Catalaphyllia</t>
  </si>
  <si>
    <t>COEM</t>
  </si>
  <si>
    <t>COLM</t>
  </si>
  <si>
    <t>Coeloseris</t>
  </si>
  <si>
    <t>CYN</t>
  </si>
  <si>
    <t>Cynarina</t>
  </si>
  <si>
    <t>DAN</t>
  </si>
  <si>
    <t>Danafungia</t>
  </si>
  <si>
    <t>DISM</t>
  </si>
  <si>
    <t>Duncanopsammia</t>
  </si>
  <si>
    <t>Echinomorpha</t>
  </si>
  <si>
    <t>FIMS</t>
  </si>
  <si>
    <t>Fimbriaphyllia</t>
  </si>
  <si>
    <t>Heliopora</t>
  </si>
  <si>
    <t>Heterocyathus</t>
  </si>
  <si>
    <t>Heteropsammia</t>
  </si>
  <si>
    <t>HOMS</t>
  </si>
  <si>
    <t>Homophyllia</t>
  </si>
  <si>
    <t>HOME</t>
  </si>
  <si>
    <t>LITE</t>
  </si>
  <si>
    <t>Lithophyllon</t>
  </si>
  <si>
    <t>LIT</t>
  </si>
  <si>
    <t>Lobactis</t>
  </si>
  <si>
    <t>Micromussa</t>
  </si>
  <si>
    <t>MICE</t>
  </si>
  <si>
    <t>Moseleya</t>
  </si>
  <si>
    <t>PALB</t>
  </si>
  <si>
    <t>Paragoniastrea</t>
  </si>
  <si>
    <t>PAMM</t>
  </si>
  <si>
    <t>Paramontastraea</t>
  </si>
  <si>
    <t>Parascolymia</t>
  </si>
  <si>
    <t>PLU</t>
  </si>
  <si>
    <t>Pleuractis</t>
  </si>
  <si>
    <t>PSIS</t>
  </si>
  <si>
    <t>Pseudosiderastrea</t>
  </si>
  <si>
    <t>SAN</t>
  </si>
  <si>
    <t>Sandolitha</t>
  </si>
  <si>
    <t>SCAP</t>
  </si>
  <si>
    <t>Scapophyllia</t>
  </si>
  <si>
    <t>SCAC</t>
  </si>
  <si>
    <t>TRA</t>
  </si>
  <si>
    <t>Trachyphyllia</t>
  </si>
  <si>
    <t>ZOP</t>
  </si>
  <si>
    <t>Zoopilus</t>
  </si>
  <si>
    <t>Rarotonga</t>
  </si>
  <si>
    <t>Savusavu Bay</t>
  </si>
  <si>
    <t>Cook Islands</t>
  </si>
  <si>
    <t>Linsley, Braddock K., Robert B. Dunbar, Emilie P. Dassié, Neil Tangri, Henry C. Wu, Logan D. Brenner, and Gerard M. Wellington. "Coral carbon isotope sensitivity to growth rate and water depth with paleo-sea level implications." Nature communications 10, no. 1 (2019): 1-9.</t>
  </si>
  <si>
    <t>Nomuka Iki</t>
  </si>
  <si>
    <t>Samoa</t>
  </si>
  <si>
    <t>Ta'u</t>
  </si>
  <si>
    <t>0.6-2.0</t>
  </si>
  <si>
    <t>0.4-2.0</t>
  </si>
  <si>
    <t>averages over core length, SD</t>
  </si>
  <si>
    <t>0.6-2.1</t>
  </si>
  <si>
    <t>0.5-2.1</t>
  </si>
  <si>
    <t>Namena</t>
  </si>
  <si>
    <t>sheltered</t>
  </si>
  <si>
    <t>Savage, C. (2019). Seabird nutrients are assimilated by corals and enhance coral growth rates. Scientific reports, 9(1), 1-10.</t>
  </si>
  <si>
    <t>only controls, not transplants, no birds</t>
  </si>
  <si>
    <t>only controls, not transplants, birds</t>
  </si>
  <si>
    <t>Direct linear measurement, all branches</t>
  </si>
  <si>
    <t>averages over 15 cores</t>
  </si>
  <si>
    <t>South China Sea</t>
  </si>
  <si>
    <t>Yan, H., Shi, Q., Yu, K., Tao, S., Yang, H., Liu, Y., ... &amp; Zhao, M. (2019). Regional coral growth responses to seawater warming in the South China Sea. Science of the total environment, 670, 595-605.</t>
  </si>
  <si>
    <t>0.76-1.27</t>
  </si>
  <si>
    <t>Photographs</t>
  </si>
  <si>
    <t>Ningaloo, Mandu reef</t>
  </si>
  <si>
    <t>radial growth, SD</t>
  </si>
  <si>
    <t>Bessey, C., Babcock, R. C., Thomson, D. P., &amp; Haywood, M. D. E. (2018). Outbreak densities of the coral predator Drupella in relation to in situ Acropora growth rates on Ningaloo Reef, Western Australia. Coral Reefs, 37(4), 985-993.</t>
  </si>
  <si>
    <t>Anderson, K. D., Cantin, N. E., Heron, S. F., Lough, J. M., &amp; Pratchett, M. S. (2018). Temporal and taxonomic contrasts in coral growth at Davies Reef, central Great Barrier Reef, Australia. Coral Reefs, 37(2), 409-421.</t>
  </si>
  <si>
    <t>four growth intervalls over two years</t>
  </si>
  <si>
    <t>average 1979-2021 over 6 cores</t>
  </si>
  <si>
    <t>Lizcano-Sandoval, L. D., Londoño-Cruz, E., &amp; Zapata, F. A. (2018). Growth and survival of Pocillopora damicornis (Scleractinia: Pocilloporidae) coral fragments and their potential for coral reef restoration in the Tropical Eastern Pacific. Marine Biology Research, 14(8), 887-897.</t>
  </si>
  <si>
    <t>Colombia</t>
  </si>
  <si>
    <t>Gorgona Island La Azufrada</t>
  </si>
  <si>
    <t>back, flat and crest</t>
  </si>
  <si>
    <t>study for restoration, corals fragmented</t>
  </si>
  <si>
    <t>different latitudes, average over two years</t>
  </si>
  <si>
    <t>Anderson, K. D., Cantin, N. E., Heron, S. F., Pisapia, C., &amp; Pratchett, M. S. (2017). Variation in growth rates of branching corals along Australia’s Great Barrier Reef. Scientific reports, 7(1), 1-13.</t>
  </si>
  <si>
    <t>palifera</t>
  </si>
  <si>
    <t>coerulea</t>
  </si>
  <si>
    <t>HFU</t>
  </si>
  <si>
    <t>branching/submassive</t>
  </si>
  <si>
    <t>HELB</t>
  </si>
  <si>
    <t>calcification calculated with branching factor 0.5</t>
  </si>
  <si>
    <t>Phillipines</t>
  </si>
  <si>
    <t>Silaqui Island</t>
  </si>
  <si>
    <t>Courtney, T.A., Guest, J.R., Edwards, A.J. et al. Linear extension, skeletal density, and calcification rates of the blue coral Heliopora coerulea. Coral Reefs (2021).</t>
  </si>
  <si>
    <t>ACP</t>
  </si>
  <si>
    <t>caespitose/branching</t>
  </si>
  <si>
    <t>lamarcki</t>
  </si>
  <si>
    <t>Dipsastrea (as Favia)</t>
  </si>
  <si>
    <t>Merulinae</t>
  </si>
  <si>
    <t>similar growthform</t>
  </si>
  <si>
    <t>Australophyllia</t>
  </si>
  <si>
    <t>CAN</t>
  </si>
  <si>
    <t>average over two sites, 10 m, 1 year exposure</t>
  </si>
  <si>
    <t>Lange, I (2019) unpublished data</t>
  </si>
  <si>
    <t>massive/phaceloid</t>
  </si>
  <si>
    <t>acuta</t>
  </si>
  <si>
    <t>Hantu, Semakau, Raffles, Kusu</t>
  </si>
  <si>
    <t>Ng, C. S. L., Lim, J. X., Sam, S. Q., Kikuzawa, Y. P., Toh, T. C., Wee, T. W., ... &amp; Chou, L. M. (2019). Variability in skeletal bulk densities of common hard corals in Southeast Asia. Coral Reefs, 38(6), 1133-1143.</t>
  </si>
  <si>
    <t>lamellosa</t>
  </si>
  <si>
    <t>encrusting/foliose</t>
  </si>
  <si>
    <t>mix</t>
  </si>
  <si>
    <t>crustacea</t>
  </si>
  <si>
    <t>encrusting/plating</t>
  </si>
  <si>
    <t>paeonia</t>
  </si>
  <si>
    <t>pentagona</t>
  </si>
  <si>
    <t>peltate</t>
  </si>
  <si>
    <t>average over Fungiidae for all freeliving corals</t>
  </si>
  <si>
    <t>DISE</t>
  </si>
  <si>
    <t>Goniastrea (as Favia)</t>
  </si>
  <si>
    <t>single corallite but thin veneer</t>
  </si>
  <si>
    <t>ECME</t>
  </si>
  <si>
    <t>most species now as Dipsastrea</t>
  </si>
  <si>
    <t>except arborescent</t>
  </si>
  <si>
    <t>few values, use density massive</t>
  </si>
  <si>
    <t>avg over foliose &amp; plating</t>
  </si>
  <si>
    <t>average over foliose and plating</t>
  </si>
  <si>
    <t>average over all taxa and growthforms</t>
  </si>
  <si>
    <t>averages over foliose and plating</t>
  </si>
  <si>
    <t>plates/crusts similar to Tubinaria</t>
  </si>
  <si>
    <t>ECPB/E/P</t>
  </si>
  <si>
    <t>thick, subarborescent branches, often from submassive/encrusting colony &gt;HYDC/M</t>
  </si>
  <si>
    <t>average over Fungiidae for all solitary corals</t>
  </si>
  <si>
    <t>HOM</t>
  </si>
  <si>
    <t>HET</t>
  </si>
  <si>
    <t>FIMB</t>
  </si>
  <si>
    <t>photogrammetry and 3D modelling</t>
  </si>
  <si>
    <t>1.3-1.9</t>
  </si>
  <si>
    <t>Chagos Archipelago</t>
  </si>
  <si>
    <t>Ile Poule</t>
  </si>
  <si>
    <r>
      <t>Lange, I. D., &amp; Perry, C. T. (2020). A quick, easy and non‐invasive method to quantify coral growth rates using photogrammetry and 3D model comparisons. </t>
    </r>
    <r>
      <rPr>
        <i/>
        <sz val="7"/>
        <color rgb="FF222222"/>
        <rFont val="Arial"/>
        <family val="2"/>
      </rPr>
      <t>Methods in Ecology and Evolution</t>
    </r>
    <r>
      <rPr>
        <sz val="7"/>
        <color rgb="FF222222"/>
        <rFont val="Arial"/>
        <family val="2"/>
      </rPr>
      <t>, </t>
    </r>
    <r>
      <rPr>
        <i/>
        <sz val="7"/>
        <color rgb="FF222222"/>
        <rFont val="Arial"/>
        <family val="2"/>
      </rPr>
      <t>11</t>
    </r>
    <r>
      <rPr>
        <sz val="7"/>
        <color rgb="FF222222"/>
        <rFont val="Arial"/>
        <family val="2"/>
      </rPr>
      <t>(6), 714-726.</t>
    </r>
  </si>
  <si>
    <t>1.3-2.7</t>
  </si>
  <si>
    <t>0.3-0.7</t>
  </si>
  <si>
    <t>bottae</t>
  </si>
  <si>
    <t>0.4-0.8</t>
  </si>
  <si>
    <t>stylifera</t>
  </si>
  <si>
    <t xml:space="preserve">sp. </t>
  </si>
  <si>
    <t>0.9-1.8</t>
  </si>
  <si>
    <t>0.3-1.4</t>
  </si>
  <si>
    <t>solid or encrusting plates &gt;ISOE</t>
  </si>
  <si>
    <t>formerly Goniastrea</t>
  </si>
  <si>
    <t>PARE/M</t>
  </si>
  <si>
    <t>Paragoniastrea (as Goniastrea)</t>
  </si>
  <si>
    <t>massive/encrusting</t>
  </si>
  <si>
    <t>Alizarin Red stain, X-radiography</t>
  </si>
  <si>
    <t>formerly Australomussa</t>
  </si>
  <si>
    <t>formerly Montastrea</t>
  </si>
  <si>
    <t>formerly Symphyllia</t>
  </si>
  <si>
    <t>PECE/P</t>
  </si>
  <si>
    <t>flat, thick branches &gt;PSAS</t>
  </si>
  <si>
    <t>BLAE</t>
  </si>
  <si>
    <r>
      <t>Mean density (g/cm</t>
    </r>
    <r>
      <rPr>
        <b/>
        <vertAlign val="superscript"/>
        <sz val="11"/>
        <color theme="1"/>
        <rFont val="Calibri"/>
        <family val="2"/>
        <scheme val="minor"/>
      </rPr>
      <t>3</t>
    </r>
    <r>
      <rPr>
        <b/>
        <sz val="11"/>
        <color theme="1"/>
        <rFont val="Calibri"/>
        <family val="2"/>
        <scheme val="minor"/>
      </rPr>
      <t>)</t>
    </r>
  </si>
  <si>
    <t>now Isophyllia and Lobophyllia</t>
  </si>
  <si>
    <r>
      <t>unpublished data, same method as in Lange, I. D., &amp; Perry, C. T. (2020). A quick, easy and non‐invasive method to quantify coral growth rates using photogrammetry and 3D model comparisons. </t>
    </r>
    <r>
      <rPr>
        <i/>
        <sz val="7"/>
        <color rgb="FF222222"/>
        <rFont val="Arial"/>
        <family val="2"/>
      </rPr>
      <t>Methods in Ecology and Evolution</t>
    </r>
    <r>
      <rPr>
        <sz val="7"/>
        <color rgb="FF222222"/>
        <rFont val="Arial"/>
        <family val="2"/>
      </rPr>
      <t>, </t>
    </r>
    <r>
      <rPr>
        <i/>
        <sz val="7"/>
        <color rgb="FF222222"/>
        <rFont val="Arial"/>
        <family val="2"/>
      </rPr>
      <t>11</t>
    </r>
    <r>
      <rPr>
        <sz val="7"/>
        <color rgb="FF222222"/>
        <rFont val="Arial"/>
        <family val="2"/>
      </rPr>
      <t>(6), 714-726.</t>
    </r>
  </si>
  <si>
    <t>vertical increase, direct measurement</t>
  </si>
  <si>
    <t>vertical growth, SD</t>
  </si>
  <si>
    <t>Dipsastrea</t>
  </si>
  <si>
    <t>encrusting plates &gt;HYDE</t>
  </si>
  <si>
    <t>Lobophyllia (as Symphyllia)</t>
  </si>
  <si>
    <t>X-radiography photography</t>
  </si>
  <si>
    <t>not used in averages for encrusting taxa as describing vertical growth</t>
  </si>
  <si>
    <t>Conversion Factor</t>
  </si>
  <si>
    <r>
      <rPr>
        <b/>
        <sz val="11"/>
        <color theme="1"/>
        <rFont val="Calibri"/>
        <family val="2"/>
        <scheme val="minor"/>
      </rPr>
      <t>Conversion factor:</t>
    </r>
    <r>
      <rPr>
        <sz val="11"/>
        <color theme="1"/>
        <rFont val="Calibri"/>
        <family val="2"/>
        <scheme val="minor"/>
      </rPr>
      <t xml:space="preserve"> for values and explanation see Handbook Table 1</t>
    </r>
  </si>
  <si>
    <t>most branching = average over fine and compact branching species = 0.256</t>
  </si>
  <si>
    <t>some branching = POCS as branches are thick and short = 0.338</t>
  </si>
  <si>
    <t>conversion of 0.5 used in Courtney et al. 2021</t>
  </si>
  <si>
    <t>substitutes are either same taxa with different growthform, closely related or morphologically similar taxa, or averages over all hard coral taxa of the same morphotype</t>
  </si>
  <si>
    <t>similar growthform to HYDB</t>
  </si>
  <si>
    <t>debated new name for some Goniastrea, potentially synonym for Platygyra</t>
  </si>
  <si>
    <t>debated new name for most Favia</t>
  </si>
  <si>
    <t>Montastraea</t>
  </si>
  <si>
    <t>now Astrea, Favites, Paramontastraea, Micromussa</t>
  </si>
  <si>
    <t>now Goniopora</t>
  </si>
  <si>
    <t>now Pavona</t>
  </si>
  <si>
    <t>potentially Merulina</t>
  </si>
  <si>
    <t>Constantly updated coral taxonomy means that some genera names are debated</t>
  </si>
  <si>
    <t>Values are averages over all available Indo-Pacific data</t>
  </si>
  <si>
    <t>MICS</t>
  </si>
  <si>
    <t>MOPP/F</t>
  </si>
  <si>
    <t>PAGE</t>
  </si>
  <si>
    <t>PAGM</t>
  </si>
  <si>
    <t>CAT</t>
  </si>
  <si>
    <t>DUNB</t>
  </si>
  <si>
    <t>HEP</t>
  </si>
  <si>
    <t>LOC</t>
  </si>
  <si>
    <t>MOSE</t>
  </si>
  <si>
    <t>Palauastrea</t>
  </si>
  <si>
    <t>PSCE</t>
  </si>
  <si>
    <t>taxa no longer used, but still supplied here</t>
  </si>
  <si>
    <r>
      <t>Extension rates and density:</t>
    </r>
    <r>
      <rPr>
        <sz val="11"/>
        <color theme="1"/>
        <rFont val="Calibri"/>
        <family val="2"/>
        <scheme val="minor"/>
      </rPr>
      <t xml:space="preserve"> see '</t>
    </r>
    <r>
      <rPr>
        <i/>
        <sz val="11"/>
        <color theme="1"/>
        <rFont val="Calibri"/>
        <family val="2"/>
        <scheme val="minor"/>
      </rPr>
      <t>Coral growth rates and density</t>
    </r>
    <r>
      <rPr>
        <sz val="11"/>
        <color theme="1"/>
        <rFont val="Calibri"/>
        <family val="2"/>
        <scheme val="minor"/>
      </rPr>
      <t>' tab</t>
    </r>
  </si>
  <si>
    <r>
      <t>Values can be modified by adding to or choosing certain species/regions from the '</t>
    </r>
    <r>
      <rPr>
        <i/>
        <sz val="11"/>
        <color theme="1"/>
        <rFont val="Calibri"/>
        <family val="2"/>
        <scheme val="minor"/>
      </rPr>
      <t>Coral growth rates and density</t>
    </r>
    <r>
      <rPr>
        <sz val="11"/>
        <color theme="1"/>
        <rFont val="Calibri"/>
        <family val="2"/>
        <scheme val="minor"/>
      </rPr>
      <t>' tab</t>
    </r>
  </si>
  <si>
    <t>tubular corallites</t>
  </si>
  <si>
    <t>compact colony of corallites on stalks, measurement of corallite surface only</t>
  </si>
  <si>
    <t>tubular corallite</t>
  </si>
  <si>
    <t>DUNP</t>
  </si>
  <si>
    <t>colony made of stalked (phaceloid) corallites branching from shared base</t>
  </si>
  <si>
    <t xml:space="preserve">colony made of flabello-meandroid corallites </t>
  </si>
  <si>
    <t>colony made of stalked (phaceloid) corallites branching from shared base but often building continuous surface</t>
  </si>
  <si>
    <t>stalked branching corallites</t>
  </si>
  <si>
    <t xml:space="preserve">stalked or meandroid corallites form colony that may appear massive </t>
  </si>
  <si>
    <t>FIMM</t>
  </si>
  <si>
    <t>colony made of flabello-meandroid corallites but often building continous surface</t>
  </si>
  <si>
    <t>CI</t>
  </si>
  <si>
    <t>HC</t>
  </si>
  <si>
    <t>only control site, no transplants, only heads, no nubbins, SD</t>
  </si>
  <si>
    <t>newly added taxa</t>
  </si>
  <si>
    <t>open branching/caespitose</t>
  </si>
  <si>
    <t>density not necessary as this value describes calcification rate as g/cm2/yr</t>
  </si>
  <si>
    <t>CI calculated as SE*1.96</t>
  </si>
  <si>
    <t>Some species grow as stalks emerging from cocealed base but often build continous surface. Adjust CF according to distance of corallites within colony</t>
  </si>
  <si>
    <t>corallites phaceloid/meandroid</t>
  </si>
  <si>
    <t>2. Growth rates are linear/radial growth rates. For encrusting taxa some values ar eexcluded from averages as they describe vertical growth. Densities are bulk densities, i.e. including coral pores (in contrast to microdensity which decribes the density of the aragonite skeleton only).</t>
  </si>
  <si>
    <t>the list of taxa has been updated to align with the 2021 version of the Indo-Pacific Coral Finder guide ( Kelley (2020), https://byoguides.com/products/coral-finder-2021) and the World List of Scleractinia (Hoeksema BW &amp; Cairns S (2021), http://www.marinespecies.org/)</t>
  </si>
  <si>
    <t>Kelley, R (2020). Coral Finder 2021 Indo-Pacific Hard Corals at https://byoguides.com/products/coral-finder-2021</t>
  </si>
  <si>
    <t>3. Changes in coral taxonomy have affected some family and genera names. Where applicable we have updated the names in the table following recommendations by the Coral Finder 2021 (Kelley 2020).</t>
  </si>
  <si>
    <r>
      <t xml:space="preserve">5. The 'Coral taxa average rates' tab also shows substitutions for taxa without published rates. Substitutions derived from the same genus and a similar growth form (e.g. massive can substitute submassive or columnar growth forms of the same genus; plating can substitute foliose), or from hard coral averages of the same growth form (e.g. Hard Coral Plating as a substitute for </t>
    </r>
    <r>
      <rPr>
        <i/>
        <sz val="11"/>
        <color theme="1"/>
        <rFont val="Arial"/>
        <family val="2"/>
      </rPr>
      <t>Echinopora</t>
    </r>
    <r>
      <rPr>
        <sz val="11"/>
        <color theme="1"/>
        <rFont val="Arial"/>
        <family val="2"/>
      </rPr>
      <t xml:space="preserve"> plating). </t>
    </r>
  </si>
  <si>
    <t>stalked corallites that together appear as massive colonies are preset with 0.8 (see notes)</t>
  </si>
  <si>
    <t>columnar are calculated like submassive as appropriate conversion factors are not available</t>
  </si>
  <si>
    <t>1 site, 5 m, 1 year exposure</t>
  </si>
  <si>
    <t>Salomon</t>
  </si>
  <si>
    <t>Salomon &amp; Great Chagos Bank</t>
  </si>
  <si>
    <t>turbid reefs</t>
  </si>
  <si>
    <t>Goh, T. Z., Bauman, A. G., Januchowski-Hartley, F. A., Morgan, K. M., Seah, J. C., &amp; Todd, P. A. (2021). Growth and carbonate production of crustose coralline algae on a degraded turbid reef system. Marine Pollution Bulletin, 173, 113135</t>
  </si>
  <si>
    <t>upper reef slope</t>
  </si>
  <si>
    <t>2-4m</t>
  </si>
  <si>
    <t>seven reefs, transect from port to offshore, 6 month exposure, calculated calcification in reference to CCA cover, not tile surface</t>
  </si>
  <si>
    <t>closest to port</t>
  </si>
  <si>
    <t>furthest from port</t>
  </si>
  <si>
    <t>Browne, N. K., Smithers, S. G., &amp; Perry, C. T. (2013). Carbonate and terrigenous sediment budgets for two inshore turbid reefs on the central Great Barrier Reef. Marine Geology, 346, 101-123.</t>
  </si>
  <si>
    <t>Eastern Indian Ocean</t>
  </si>
  <si>
    <t xml:space="preserve">Middle Reef </t>
  </si>
  <si>
    <t>Paluma Shoals</t>
  </si>
  <si>
    <t>slightly turbid reefs</t>
  </si>
  <si>
    <t>up- and downward facing tiles across different zones and exposures, 1 year deployment</t>
  </si>
  <si>
    <t>Dee, S., Cuttler, M., Cartwright, P., McIlwain, J., &amp; Browne, N. (2021). Encrusters maintain stable carbonate production despite temperature anomalies among two inshore island reefs of the Pilbara, Western Australia. Marine Environmental Research, 105386.</t>
  </si>
  <si>
    <t>2 islands, 4 sites each, 1 year deployment</t>
  </si>
  <si>
    <t>inshore island reef</t>
  </si>
  <si>
    <t>Eva &amp; Fly island in Exmouth Gulf</t>
  </si>
  <si>
    <r>
      <t xml:space="preserve">1. Coral and CCA growth rates and densities and bioerosion rates are from the Indian and Pacific Oceans only. Data were extracted from the studies listed at the end of each line. </t>
    </r>
    <r>
      <rPr>
        <sz val="11"/>
        <color rgb="FFFF0000"/>
        <rFont val="Arial"/>
        <family val="2"/>
      </rPr>
      <t>Last update: Nov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</si>
</sst>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2" x14ac:knownFonts="1">
    <font>
      <sz val="11"/>
      <color theme="1"/>
      <name val="Calibri"/>
      <family val="2"/>
      <scheme val="minor"/>
    </font>
    <font>
      <b/>
      <sz val="11"/>
      <color theme="1"/>
      <name val="Calibri"/>
      <family val="2"/>
      <scheme val="minor"/>
    </font>
    <font>
      <sz val="11"/>
      <color theme="1"/>
      <name val="Arial Narrow"/>
      <family val="2"/>
    </font>
    <font>
      <i/>
      <sz val="11"/>
      <color theme="1"/>
      <name val="Arial Narrow"/>
      <family val="2"/>
    </font>
    <font>
      <sz val="11"/>
      <color rgb="FF000000"/>
      <name val="Arial Narrow"/>
      <family val="2"/>
    </font>
    <font>
      <sz val="11"/>
      <color rgb="FFFF0000"/>
      <name val="Arial Narrow"/>
      <family val="2"/>
    </font>
    <font>
      <sz val="11"/>
      <name val="Arial Narrow"/>
      <family val="2"/>
    </font>
    <font>
      <sz val="11"/>
      <color theme="1"/>
      <name val="Calibri"/>
      <family val="2"/>
    </font>
    <font>
      <sz val="9.35"/>
      <color theme="1"/>
      <name val="Arial Narrow"/>
      <family val="2"/>
    </font>
    <font>
      <b/>
      <sz val="11"/>
      <color theme="1"/>
      <name val="Arial Narrow"/>
      <family val="2"/>
    </font>
    <font>
      <b/>
      <vertAlign val="superscript"/>
      <sz val="11"/>
      <color indexed="8"/>
      <name val="Arial Narrow"/>
      <family val="2"/>
    </font>
    <font>
      <b/>
      <sz val="11"/>
      <color indexed="8"/>
      <name val="Arial Narrow"/>
      <family val="2"/>
    </font>
    <font>
      <sz val="11"/>
      <color rgb="FF222222"/>
      <name val="Arial Narrow"/>
      <family val="2"/>
    </font>
    <font>
      <i/>
      <sz val="11"/>
      <color rgb="FF222222"/>
      <name val="Arial Narrow"/>
      <family val="2"/>
    </font>
    <font>
      <sz val="11"/>
      <name val="Calibri"/>
      <family val="2"/>
      <scheme val="minor"/>
    </font>
    <font>
      <sz val="10"/>
      <color rgb="FF222222"/>
      <name val="Arial"/>
      <family val="2"/>
    </font>
    <font>
      <i/>
      <sz val="10"/>
      <color rgb="FF222222"/>
      <name val="Arial"/>
      <family val="2"/>
    </font>
    <font>
      <b/>
      <sz val="11"/>
      <color rgb="FF000000"/>
      <name val="Arial Narrow"/>
      <family val="2"/>
    </font>
    <font>
      <sz val="11"/>
      <color theme="0" tint="-0.249977111117893"/>
      <name val="Arial Narrow"/>
      <family val="2"/>
    </font>
    <font>
      <sz val="11"/>
      <color rgb="FF333333"/>
      <name val="Arial Narrow"/>
      <family val="2"/>
    </font>
    <font>
      <i/>
      <sz val="11"/>
      <color rgb="FF333333"/>
      <name val="Arial Narrow"/>
      <family val="2"/>
    </font>
    <font>
      <sz val="11"/>
      <color rgb="FFBFBFBF"/>
      <name val="Arial Narrow"/>
      <family val="2"/>
    </font>
    <font>
      <i/>
      <sz val="11"/>
      <color rgb="FFBFBFBF"/>
      <name val="Arial Narrow"/>
      <family val="2"/>
    </font>
    <font>
      <sz val="11"/>
      <color rgb="FFD9D9D9"/>
      <name val="Arial Narrow"/>
      <family val="2"/>
    </font>
    <font>
      <b/>
      <vertAlign val="superscript"/>
      <sz val="11"/>
      <color theme="1"/>
      <name val="Arial Narrow"/>
      <family val="2"/>
    </font>
    <font>
      <b/>
      <sz val="11"/>
      <color theme="1"/>
      <name val="Arial"/>
      <family val="2"/>
    </font>
    <font>
      <sz val="11"/>
      <color theme="1"/>
      <name val="Arial"/>
      <family val="2"/>
    </font>
    <font>
      <sz val="11"/>
      <name val="Arial"/>
      <family val="2"/>
    </font>
    <font>
      <sz val="12"/>
      <color theme="1"/>
      <name val="Arial Narrow"/>
      <family val="2"/>
    </font>
    <font>
      <sz val="7"/>
      <color rgb="FF222222"/>
      <name val="Arial"/>
      <family val="2"/>
    </font>
    <font>
      <i/>
      <sz val="7"/>
      <color rgb="FF222222"/>
      <name val="Arial"/>
      <family val="2"/>
    </font>
    <font>
      <sz val="11"/>
      <color rgb="FFFF0000"/>
      <name val="Calibri"/>
      <family val="2"/>
      <scheme val="minor"/>
    </font>
    <font>
      <b/>
      <sz val="11"/>
      <name val="Calibri"/>
      <family val="2"/>
      <scheme val="minor"/>
    </font>
    <font>
      <b/>
      <vertAlign val="superscript"/>
      <sz val="11"/>
      <color theme="1"/>
      <name val="Calibri"/>
      <family val="2"/>
      <scheme val="minor"/>
    </font>
    <font>
      <b/>
      <sz val="11"/>
      <color indexed="8"/>
      <name val="Calibri"/>
      <family val="2"/>
      <scheme val="minor"/>
    </font>
    <font>
      <sz val="11"/>
      <color rgb="FF00B0F0"/>
      <name val="Calibri"/>
      <family val="2"/>
      <scheme val="minor"/>
    </font>
    <font>
      <sz val="11"/>
      <color theme="0" tint="-0.249977111117893"/>
      <name val="Calibri"/>
      <family val="2"/>
      <scheme val="minor"/>
    </font>
    <font>
      <i/>
      <sz val="11"/>
      <name val="Calibri"/>
      <family val="2"/>
      <scheme val="minor"/>
    </font>
    <font>
      <i/>
      <sz val="11"/>
      <color theme="1"/>
      <name val="Calibri"/>
      <family val="2"/>
      <scheme val="minor"/>
    </font>
    <font>
      <i/>
      <sz val="11"/>
      <color theme="1"/>
      <name val="Arial"/>
      <family val="2"/>
    </font>
    <font>
      <sz val="11"/>
      <color rgb="FFFF0000"/>
      <name val="Arial"/>
      <family val="2"/>
    </font>
    <font>
      <sz val="10"/>
      <color theme="1"/>
      <name val="Arial"/>
      <family val="2"/>
    </font>
  </fonts>
  <fills count="11">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4">
    <xf numFmtId="0" fontId="0" fillId="0" borderId="0" xfId="0"/>
    <xf numFmtId="0" fontId="0" fillId="0" borderId="0" xfId="0" applyFill="1"/>
    <xf numFmtId="0" fontId="2" fillId="0" borderId="0" xfId="0" applyFont="1" applyFill="1"/>
    <xf numFmtId="0" fontId="2" fillId="0" borderId="0" xfId="0" applyFont="1"/>
    <xf numFmtId="164" fontId="2" fillId="0" borderId="0" xfId="0" applyNumberFormat="1" applyFont="1"/>
    <xf numFmtId="164" fontId="2" fillId="0" borderId="0" xfId="0" applyNumberFormat="1" applyFont="1" applyFill="1"/>
    <xf numFmtId="16" fontId="2" fillId="0" borderId="0" xfId="0" applyNumberFormat="1" applyFont="1"/>
    <xf numFmtId="0" fontId="2" fillId="2" borderId="0" xfId="0" applyFont="1" applyFill="1"/>
    <xf numFmtId="164" fontId="2" fillId="2" borderId="0" xfId="0" applyNumberFormat="1" applyFont="1" applyFill="1"/>
    <xf numFmtId="0" fontId="4" fillId="2" borderId="0" xfId="0" applyFont="1" applyFill="1"/>
    <xf numFmtId="0" fontId="2" fillId="0" borderId="0" xfId="0" applyFont="1" applyAlignment="1"/>
    <xf numFmtId="16" fontId="2" fillId="0" borderId="0" xfId="0" applyNumberFormat="1" applyFont="1" applyFill="1"/>
    <xf numFmtId="0" fontId="0" fillId="2" borderId="0" xfId="0" applyFill="1"/>
    <xf numFmtId="0" fontId="2" fillId="2" borderId="0" xfId="0" applyFont="1" applyFill="1" applyAlignment="1"/>
    <xf numFmtId="16" fontId="2" fillId="2" borderId="0" xfId="0" applyNumberFormat="1" applyFont="1" applyFill="1"/>
    <xf numFmtId="0" fontId="6" fillId="2" borderId="0" xfId="0" applyFont="1" applyFill="1"/>
    <xf numFmtId="164" fontId="6" fillId="2" borderId="0" xfId="0" applyNumberFormat="1" applyFont="1" applyFill="1"/>
    <xf numFmtId="16" fontId="6" fillId="2" borderId="0" xfId="0" applyNumberFormat="1" applyFont="1" applyFill="1"/>
    <xf numFmtId="0" fontId="1" fillId="0" borderId="0" xfId="0" applyFont="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wrapText="1"/>
    </xf>
    <xf numFmtId="165" fontId="9" fillId="0" borderId="0" xfId="0" applyNumberFormat="1" applyFont="1" applyAlignment="1" applyProtection="1">
      <alignment wrapText="1"/>
    </xf>
    <xf numFmtId="2" fontId="9" fillId="0" borderId="0" xfId="0" applyNumberFormat="1" applyFont="1" applyAlignment="1" applyProtection="1">
      <alignment horizontal="center" wrapText="1"/>
    </xf>
    <xf numFmtId="164" fontId="9" fillId="0" borderId="0" xfId="0" applyNumberFormat="1" applyFont="1" applyAlignment="1" applyProtection="1">
      <alignment horizontal="center" wrapText="1"/>
    </xf>
    <xf numFmtId="0" fontId="9" fillId="0" borderId="0" xfId="0" applyFont="1"/>
    <xf numFmtId="0" fontId="3" fillId="0" borderId="0" xfId="0" applyFont="1"/>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2" fillId="0" borderId="0" xfId="0" applyFont="1" applyAlignment="1">
      <alignment vertical="center"/>
    </xf>
    <xf numFmtId="0" fontId="12" fillId="0" borderId="0" xfId="0" applyFont="1"/>
    <xf numFmtId="0" fontId="0" fillId="0" borderId="0" xfId="0" applyAlignment="1">
      <alignment vertical="center"/>
    </xf>
    <xf numFmtId="0" fontId="2" fillId="0" borderId="0" xfId="0" applyFont="1" applyAlignment="1">
      <alignment horizontal="right"/>
    </xf>
    <xf numFmtId="0" fontId="2" fillId="2" borderId="0" xfId="0" applyFont="1" applyFill="1" applyAlignment="1">
      <alignment horizontal="right"/>
    </xf>
    <xf numFmtId="0" fontId="2" fillId="0" borderId="0" xfId="0" applyFont="1" applyFill="1" applyAlignment="1">
      <alignment horizontal="right"/>
    </xf>
    <xf numFmtId="0" fontId="6" fillId="2" borderId="0" xfId="0" applyFont="1" applyFill="1" applyAlignment="1">
      <alignment horizontal="right"/>
    </xf>
    <xf numFmtId="0" fontId="0" fillId="0" borderId="0" xfId="0" applyFill="1" applyAlignment="1">
      <alignment horizontal="right"/>
    </xf>
    <xf numFmtId="16" fontId="2" fillId="0" borderId="0" xfId="0" applyNumberFormat="1" applyFont="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16" fontId="2" fillId="2" borderId="0" xfId="0" applyNumberFormat="1" applyFont="1" applyFill="1" applyAlignment="1">
      <alignment horizontal="center"/>
    </xf>
    <xf numFmtId="0" fontId="6" fillId="2" borderId="0" xfId="0" applyFont="1" applyFill="1" applyAlignment="1">
      <alignment horizontal="center"/>
    </xf>
    <xf numFmtId="16" fontId="2" fillId="0" borderId="0" xfId="0" applyNumberFormat="1" applyFont="1" applyFill="1" applyAlignment="1">
      <alignment horizontal="center"/>
    </xf>
    <xf numFmtId="0" fontId="2" fillId="2" borderId="0" xfId="0" applyFont="1" applyFill="1" applyAlignment="1">
      <alignment vertical="center"/>
    </xf>
    <xf numFmtId="0" fontId="2" fillId="0" borderId="0" xfId="0" applyFont="1" applyFill="1" applyAlignment="1"/>
    <xf numFmtId="0" fontId="6" fillId="2" borderId="0" xfId="0" applyFont="1" applyFill="1" applyAlignment="1">
      <alignment vertical="center"/>
    </xf>
    <xf numFmtId="0" fontId="6" fillId="2" borderId="0" xfId="0" applyFont="1" applyFill="1" applyAlignment="1"/>
    <xf numFmtId="0" fontId="2" fillId="0" borderId="0" xfId="0" applyFont="1" applyFill="1" applyAlignment="1">
      <alignment vertical="center"/>
    </xf>
    <xf numFmtId="164"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0" xfId="0" applyFont="1" applyFill="1" applyAlignment="1">
      <alignment horizontal="center"/>
    </xf>
    <xf numFmtId="0" fontId="6" fillId="0" borderId="0" xfId="0" applyFont="1" applyFill="1" applyAlignment="1"/>
    <xf numFmtId="164" fontId="2" fillId="0" borderId="0" xfId="0" applyNumberFormat="1" applyFont="1" applyAlignment="1">
      <alignment horizontal="right"/>
    </xf>
    <xf numFmtId="0" fontId="2" fillId="0" borderId="0" xfId="0" applyNumberFormat="1" applyFont="1" applyAlignment="1">
      <alignment horizontal="right"/>
    </xf>
    <xf numFmtId="0" fontId="4" fillId="0" borderId="0" xfId="0" applyFont="1" applyFill="1"/>
    <xf numFmtId="0" fontId="2" fillId="0" borderId="0" xfId="0" applyFont="1" applyAlignment="1">
      <alignment wrapText="1"/>
    </xf>
    <xf numFmtId="0" fontId="2" fillId="4" borderId="0" xfId="0" applyFont="1" applyFill="1"/>
    <xf numFmtId="0" fontId="14" fillId="2" borderId="0" xfId="0" applyFont="1" applyFill="1"/>
    <xf numFmtId="0" fontId="6" fillId="0" borderId="0" xfId="0" applyFont="1"/>
    <xf numFmtId="0" fontId="2" fillId="0" borderId="0" xfId="0" applyFont="1" applyFill="1" applyBorder="1" applyAlignment="1">
      <alignment horizontal="right"/>
    </xf>
    <xf numFmtId="0" fontId="2" fillId="0" borderId="0" xfId="0" applyFont="1" applyFill="1" applyBorder="1" applyAlignment="1"/>
    <xf numFmtId="0" fontId="2" fillId="0" borderId="0" xfId="0" applyFont="1" applyFill="1" applyBorder="1" applyAlignment="1">
      <alignment vertical="center"/>
    </xf>
    <xf numFmtId="164" fontId="2" fillId="0" borderId="0" xfId="0" applyNumberFormat="1" applyFont="1" applyFill="1" applyBorder="1" applyAlignment="1"/>
    <xf numFmtId="1" fontId="2" fillId="0" borderId="0" xfId="0" applyNumberFormat="1" applyFont="1" applyFill="1" applyBorder="1" applyAlignment="1"/>
    <xf numFmtId="49" fontId="2" fillId="0" borderId="0" xfId="0" applyNumberFormat="1" applyFont="1" applyFill="1" applyBorder="1" applyAlignment="1">
      <alignment horizontal="center" vertical="center"/>
    </xf>
    <xf numFmtId="0" fontId="19" fillId="0" borderId="0" xfId="0" applyFont="1" applyFill="1" applyBorder="1"/>
    <xf numFmtId="0" fontId="21" fillId="0" borderId="0" xfId="0" applyFont="1" applyFill="1" applyBorder="1" applyAlignment="1">
      <alignment horizontal="right"/>
    </xf>
    <xf numFmtId="0" fontId="21" fillId="0" borderId="0" xfId="0" applyFont="1" applyFill="1" applyBorder="1" applyAlignment="1"/>
    <xf numFmtId="0" fontId="21" fillId="0" borderId="0" xfId="0" applyFont="1" applyFill="1" applyBorder="1" applyAlignment="1">
      <alignment vertical="center"/>
    </xf>
    <xf numFmtId="1" fontId="21" fillId="0" borderId="0" xfId="0" applyNumberFormat="1" applyFont="1" applyFill="1" applyBorder="1" applyAlignment="1"/>
    <xf numFmtId="49" fontId="21" fillId="0" borderId="0" xfId="0" applyNumberFormat="1" applyFont="1" applyFill="1" applyBorder="1" applyAlignment="1">
      <alignment horizontal="center" vertical="center"/>
    </xf>
    <xf numFmtId="0" fontId="21" fillId="0" borderId="0" xfId="0" applyFont="1" applyFill="1" applyBorder="1"/>
    <xf numFmtId="0" fontId="23" fillId="0" borderId="0" xfId="0" applyFont="1" applyFill="1" applyBorder="1" applyAlignment="1">
      <alignment horizontal="right"/>
    </xf>
    <xf numFmtId="0" fontId="23" fillId="0" borderId="0" xfId="0" applyFont="1" applyFill="1" applyBorder="1" applyAlignment="1"/>
    <xf numFmtId="0" fontId="23" fillId="0" borderId="0" xfId="0" applyFont="1" applyFill="1" applyBorder="1" applyAlignment="1">
      <alignment vertical="center"/>
    </xf>
    <xf numFmtId="1" fontId="23" fillId="0" borderId="0" xfId="0" applyNumberFormat="1" applyFont="1" applyFill="1" applyBorder="1" applyAlignment="1"/>
    <xf numFmtId="49" fontId="23" fillId="0" borderId="0" xfId="0" applyNumberFormat="1" applyFont="1" applyFill="1" applyBorder="1" applyAlignment="1">
      <alignment horizontal="center" vertical="center"/>
    </xf>
    <xf numFmtId="0" fontId="23" fillId="0" borderId="0" xfId="0" applyFont="1" applyFill="1" applyBorder="1"/>
    <xf numFmtId="0" fontId="6" fillId="0" borderId="0" xfId="0" applyFont="1" applyFill="1" applyBorder="1" applyAlignment="1">
      <alignment horizontal="right"/>
    </xf>
    <xf numFmtId="0" fontId="6" fillId="0" borderId="0" xfId="0" applyFont="1" applyFill="1" applyBorder="1" applyAlignment="1">
      <alignment vertical="center"/>
    </xf>
    <xf numFmtId="1" fontId="6" fillId="0" borderId="0" xfId="0" applyNumberFormat="1" applyFont="1" applyFill="1" applyBorder="1" applyAlignment="1"/>
    <xf numFmtId="0" fontId="6" fillId="0" borderId="0" xfId="0" applyFont="1" applyFill="1" applyBorder="1" applyAlignment="1"/>
    <xf numFmtId="49" fontId="6" fillId="0" borderId="0" xfId="0" applyNumberFormat="1" applyFont="1" applyFill="1" applyBorder="1" applyAlignment="1">
      <alignment horizontal="center" vertical="center"/>
    </xf>
    <xf numFmtId="0" fontId="6" fillId="0" borderId="0" xfId="0" applyFont="1" applyFill="1" applyBorder="1"/>
    <xf numFmtId="0" fontId="12" fillId="0" borderId="0" xfId="0" applyFont="1" applyFill="1" applyBorder="1"/>
    <xf numFmtId="164"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164" fontId="2" fillId="0" borderId="0" xfId="0" applyNumberFormat="1" applyFont="1" applyFill="1" applyAlignment="1">
      <alignment horizontal="right"/>
    </xf>
    <xf numFmtId="0" fontId="9" fillId="0" borderId="11" xfId="0" applyFont="1" applyBorder="1" applyAlignment="1">
      <alignment horizontal="left" wrapText="1"/>
    </xf>
    <xf numFmtId="164" fontId="9" fillId="0" borderId="11" xfId="0" applyNumberFormat="1" applyFont="1" applyBorder="1" applyAlignment="1">
      <alignment horizontal="center" wrapText="1"/>
    </xf>
    <xf numFmtId="2" fontId="9" fillId="0" borderId="11" xfId="0" applyNumberFormat="1" applyFont="1" applyBorder="1" applyAlignment="1">
      <alignment horizontal="left" wrapText="1"/>
    </xf>
    <xf numFmtId="165" fontId="9" fillId="0" borderId="11" xfId="0" applyNumberFormat="1" applyFont="1" applyBorder="1" applyAlignment="1">
      <alignment horizontal="left" wrapText="1"/>
    </xf>
    <xf numFmtId="0" fontId="9" fillId="0" borderId="11" xfId="0" applyFont="1" applyBorder="1" applyAlignment="1">
      <alignment wrapText="1"/>
    </xf>
    <xf numFmtId="0" fontId="2" fillId="0" borderId="11" xfId="0" applyFont="1" applyBorder="1" applyAlignment="1">
      <alignment wrapText="1"/>
    </xf>
    <xf numFmtId="0" fontId="0" fillId="0" borderId="11" xfId="0" applyBorder="1" applyAlignment="1">
      <alignment wrapText="1"/>
    </xf>
    <xf numFmtId="1" fontId="2" fillId="0" borderId="0" xfId="0" applyNumberFormat="1" applyFont="1"/>
    <xf numFmtId="164" fontId="2" fillId="4" borderId="0" xfId="0" applyNumberFormat="1" applyFont="1" applyFill="1"/>
    <xf numFmtId="0" fontId="6" fillId="0" borderId="0" xfId="0" applyFont="1" applyAlignment="1">
      <alignment wrapText="1"/>
    </xf>
    <xf numFmtId="0" fontId="6" fillId="0" borderId="0" xfId="0" applyFont="1" applyFill="1" applyAlignment="1">
      <alignment wrapText="1"/>
    </xf>
    <xf numFmtId="0" fontId="6" fillId="7" borderId="0" xfId="0" applyFont="1" applyFill="1" applyAlignment="1">
      <alignment wrapText="1"/>
    </xf>
    <xf numFmtId="0" fontId="6" fillId="7" borderId="0" xfId="0" applyFont="1" applyFill="1"/>
    <xf numFmtId="0" fontId="2" fillId="7" borderId="0" xfId="0" applyFont="1" applyFill="1" applyAlignment="1">
      <alignment wrapText="1"/>
    </xf>
    <xf numFmtId="164" fontId="2" fillId="0" borderId="0" xfId="0" applyNumberFormat="1" applyFont="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164" fontId="2" fillId="0" borderId="0" xfId="0" applyNumberFormat="1" applyFont="1" applyFill="1" applyAlignment="1">
      <alignment horizontal="center"/>
    </xf>
    <xf numFmtId="1" fontId="2" fillId="0" borderId="7" xfId="0" applyNumberFormat="1" applyFont="1" applyFill="1" applyBorder="1" applyAlignment="1">
      <alignment horizontal="center"/>
    </xf>
    <xf numFmtId="0" fontId="9" fillId="0" borderId="1" xfId="0" applyFont="1" applyFill="1" applyBorder="1" applyAlignment="1"/>
    <xf numFmtId="164" fontId="9" fillId="0" borderId="1" xfId="0" applyNumberFormat="1"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1" fontId="9" fillId="0" borderId="0" xfId="0" applyNumberFormat="1" applyFont="1" applyFill="1" applyBorder="1" applyAlignment="1"/>
    <xf numFmtId="164" fontId="9" fillId="4" borderId="1" xfId="0" applyNumberFormat="1" applyFont="1" applyFill="1" applyBorder="1" applyAlignment="1">
      <alignment horizontal="center" vertical="center"/>
    </xf>
    <xf numFmtId="164" fontId="9" fillId="5" borderId="1" xfId="0" applyNumberFormat="1" applyFont="1" applyFill="1" applyBorder="1" applyAlignment="1">
      <alignment horizontal="right"/>
    </xf>
    <xf numFmtId="164" fontId="9" fillId="0" borderId="1" xfId="0" applyNumberFormat="1"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164" fontId="9" fillId="0" borderId="1" xfId="0" applyNumberFormat="1" applyFont="1" applyBorder="1" applyAlignment="1">
      <alignment horizontal="right"/>
    </xf>
    <xf numFmtId="1" fontId="9" fillId="0" borderId="1" xfId="0" applyNumberFormat="1" applyFont="1" applyBorder="1" applyAlignment="1">
      <alignment horizontal="center" vertical="center"/>
    </xf>
    <xf numFmtId="1" fontId="9" fillId="0" borderId="1" xfId="0" applyNumberFormat="1" applyFont="1" applyBorder="1" applyAlignment="1">
      <alignment horizontal="center"/>
    </xf>
    <xf numFmtId="164" fontId="9" fillId="4"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2" fillId="0" borderId="6"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1" fillId="0" borderId="6" xfId="0"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0" xfId="0" applyNumberFormat="1" applyFont="1" applyFill="1" applyBorder="1" applyAlignment="1">
      <alignment horizontal="center"/>
    </xf>
    <xf numFmtId="1" fontId="21" fillId="0" borderId="7" xfId="0" applyNumberFormat="1" applyFont="1" applyFill="1" applyBorder="1" applyAlignment="1">
      <alignment horizontal="center"/>
    </xf>
    <xf numFmtId="0" fontId="23" fillId="0" borderId="6" xfId="0" applyFont="1" applyFill="1" applyBorder="1" applyAlignment="1">
      <alignment horizontal="center" vertical="center"/>
    </xf>
    <xf numFmtId="164" fontId="23" fillId="0" borderId="0" xfId="0" applyNumberFormat="1" applyFont="1" applyFill="1" applyBorder="1" applyAlignment="1">
      <alignment horizontal="center" vertical="center"/>
    </xf>
    <xf numFmtId="164" fontId="23" fillId="0" borderId="0" xfId="0" applyNumberFormat="1" applyFont="1" applyFill="1" applyBorder="1" applyAlignment="1">
      <alignment horizontal="center"/>
    </xf>
    <xf numFmtId="1" fontId="23" fillId="0" borderId="7" xfId="0" applyNumberFormat="1" applyFont="1" applyFill="1" applyBorder="1" applyAlignment="1">
      <alignment horizontal="center"/>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xf>
    <xf numFmtId="1" fontId="6" fillId="0" borderId="7" xfId="0" applyNumberFormat="1" applyFont="1" applyFill="1" applyBorder="1" applyAlignment="1">
      <alignment horizontal="center"/>
    </xf>
    <xf numFmtId="0" fontId="6" fillId="0" borderId="6" xfId="0" applyFont="1" applyFill="1" applyBorder="1" applyAlignment="1">
      <alignment horizontal="center"/>
    </xf>
    <xf numFmtId="0" fontId="21" fillId="0" borderId="6"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1" fontId="2" fillId="0" borderId="10" xfId="0" applyNumberFormat="1" applyFont="1" applyFill="1" applyBorder="1" applyAlignment="1">
      <alignment horizontal="center"/>
    </xf>
    <xf numFmtId="164" fontId="21" fillId="0" borderId="6" xfId="0" applyNumberFormat="1" applyFont="1" applyFill="1" applyBorder="1" applyAlignment="1">
      <alignment horizontal="center"/>
    </xf>
    <xf numFmtId="164" fontId="23" fillId="0" borderId="6" xfId="0" applyNumberFormat="1" applyFont="1" applyFill="1" applyBorder="1" applyAlignment="1">
      <alignment horizontal="center"/>
    </xf>
    <xf numFmtId="0" fontId="6" fillId="0" borderId="0" xfId="0" applyFont="1" applyFill="1" applyBorder="1" applyAlignment="1">
      <alignment horizontal="center"/>
    </xf>
    <xf numFmtId="164" fontId="6" fillId="0" borderId="6" xfId="0" applyNumberFormat="1" applyFont="1" applyFill="1" applyBorder="1" applyAlignment="1">
      <alignment horizontal="center"/>
    </xf>
    <xf numFmtId="0" fontId="2" fillId="0" borderId="6" xfId="0" applyFont="1" applyFill="1" applyBorder="1" applyAlignment="1">
      <alignment horizontal="center"/>
    </xf>
    <xf numFmtId="164" fontId="6" fillId="0" borderId="0" xfId="0" applyNumberFormat="1" applyFont="1" applyFill="1" applyAlignment="1">
      <alignment horizontal="center"/>
    </xf>
    <xf numFmtId="164" fontId="6" fillId="0" borderId="0" xfId="0" applyNumberFormat="1" applyFont="1" applyAlignment="1">
      <alignment horizontal="center"/>
    </xf>
    <xf numFmtId="164" fontId="5" fillId="0" borderId="0" xfId="0" applyNumberFormat="1" applyFont="1" applyAlignment="1">
      <alignment horizontal="center"/>
    </xf>
    <xf numFmtId="0" fontId="17" fillId="0" borderId="11" xfId="0" applyFont="1" applyFill="1" applyBorder="1" applyAlignment="1">
      <alignment horizontal="left" wrapText="1"/>
    </xf>
    <xf numFmtId="0" fontId="17" fillId="0" borderId="12" xfId="0" applyFont="1" applyFill="1" applyBorder="1" applyAlignment="1">
      <alignment horizontal="left" wrapText="1"/>
    </xf>
    <xf numFmtId="0" fontId="17" fillId="0" borderId="13" xfId="0" applyFont="1" applyFill="1" applyBorder="1" applyAlignment="1">
      <alignment horizontal="center" wrapText="1"/>
    </xf>
    <xf numFmtId="2" fontId="17" fillId="0" borderId="14" xfId="0" applyNumberFormat="1" applyFont="1" applyFill="1" applyBorder="1" applyAlignment="1">
      <alignment horizontal="center" wrapText="1"/>
    </xf>
    <xf numFmtId="1" fontId="17" fillId="0" borderId="15" xfId="0" applyNumberFormat="1" applyFont="1" applyFill="1" applyBorder="1" applyAlignment="1">
      <alignment horizontal="center" wrapText="1"/>
    </xf>
    <xf numFmtId="1" fontId="17" fillId="0" borderId="11" xfId="0" applyNumberFormat="1" applyFont="1" applyFill="1" applyBorder="1" applyAlignment="1">
      <alignment horizontal="center" wrapText="1"/>
    </xf>
    <xf numFmtId="164" fontId="17" fillId="0" borderId="11" xfId="0" applyNumberFormat="1" applyFont="1" applyFill="1" applyBorder="1" applyAlignment="1">
      <alignment horizontal="center" wrapText="1"/>
    </xf>
    <xf numFmtId="49" fontId="17" fillId="0" borderId="11" xfId="0" applyNumberFormat="1" applyFont="1" applyFill="1" applyBorder="1" applyAlignment="1">
      <alignment horizontal="left" wrapText="1"/>
    </xf>
    <xf numFmtId="165" fontId="17" fillId="0" borderId="11" xfId="0" applyNumberFormat="1" applyFont="1" applyFill="1" applyBorder="1" applyAlignment="1">
      <alignment horizontal="left" wrapText="1"/>
    </xf>
    <xf numFmtId="0" fontId="2" fillId="0" borderId="11" xfId="0" applyFont="1" applyBorder="1"/>
    <xf numFmtId="0" fontId="2" fillId="0" borderId="0" xfId="0" applyFont="1" applyFill="1" applyBorder="1" applyAlignment="1">
      <alignment horizontal="left"/>
    </xf>
    <xf numFmtId="164" fontId="2" fillId="8" borderId="0" xfId="0" applyNumberFormat="1" applyFont="1" applyFill="1"/>
    <xf numFmtId="0" fontId="2" fillId="0" borderId="0" xfId="0" applyFont="1" applyAlignment="1">
      <alignment vertical="top"/>
    </xf>
    <xf numFmtId="0" fontId="18" fillId="0" borderId="0" xfId="0" applyFont="1" applyFill="1" applyBorder="1" applyAlignment="1">
      <alignment wrapText="1"/>
    </xf>
    <xf numFmtId="0" fontId="25" fillId="3" borderId="0" xfId="0" applyFont="1" applyFill="1" applyAlignment="1">
      <alignment vertical="center"/>
    </xf>
    <xf numFmtId="0" fontId="26" fillId="3" borderId="0" xfId="0" applyFont="1" applyFill="1" applyAlignment="1">
      <alignment horizontal="left" vertical="top" wrapText="1"/>
    </xf>
    <xf numFmtId="0" fontId="27" fillId="3" borderId="0" xfId="0" applyFont="1" applyFill="1" applyAlignment="1">
      <alignment horizontal="left" vertical="top" wrapText="1"/>
    </xf>
    <xf numFmtId="0" fontId="2" fillId="0" borderId="0" xfId="0" applyFont="1" applyAlignment="1" applyProtection="1">
      <alignment wrapText="1"/>
    </xf>
    <xf numFmtId="2" fontId="2" fillId="0" borderId="0" xfId="0" applyNumberFormat="1" applyFont="1" applyAlignment="1" applyProtection="1">
      <alignment horizontal="center" wrapText="1"/>
    </xf>
    <xf numFmtId="165" fontId="2" fillId="0" borderId="0" xfId="0" applyNumberFormat="1" applyFont="1" applyAlignment="1" applyProtection="1">
      <alignment wrapText="1"/>
    </xf>
    <xf numFmtId="0" fontId="0" fillId="0" borderId="0" xfId="0" applyFont="1" applyAlignment="1" applyProtection="1">
      <alignment wrapText="1"/>
    </xf>
    <xf numFmtId="0" fontId="2" fillId="2" borderId="0" xfId="0" applyFont="1" applyFill="1" applyAlignment="1" applyProtection="1">
      <alignment wrapText="1"/>
    </xf>
    <xf numFmtId="2" fontId="2" fillId="2" borderId="0" xfId="0" applyNumberFormat="1" applyFont="1" applyFill="1" applyAlignment="1" applyProtection="1">
      <alignment horizontal="center" wrapText="1"/>
    </xf>
    <xf numFmtId="165" fontId="2" fillId="2" borderId="0" xfId="0" applyNumberFormat="1" applyFont="1" applyFill="1" applyAlignment="1" applyProtection="1">
      <alignment wrapText="1"/>
    </xf>
    <xf numFmtId="0" fontId="2" fillId="2" borderId="0" xfId="0" applyFont="1" applyFill="1" applyAlignment="1" applyProtection="1">
      <alignment horizontal="left" wrapText="1"/>
    </xf>
    <xf numFmtId="0" fontId="0" fillId="2" borderId="0" xfId="0" applyFont="1" applyFill="1" applyAlignment="1" applyProtection="1">
      <alignment wrapText="1"/>
    </xf>
    <xf numFmtId="0" fontId="2" fillId="9" borderId="0" xfId="0" applyFont="1" applyFill="1"/>
    <xf numFmtId="0" fontId="28" fillId="2" borderId="0" xfId="0" applyFont="1" applyFill="1" applyAlignment="1">
      <alignment horizontal="left" vertical="center"/>
    </xf>
    <xf numFmtId="0" fontId="14" fillId="0" borderId="0" xfId="0" applyFont="1" applyFill="1"/>
    <xf numFmtId="0" fontId="0" fillId="0" borderId="0" xfId="0" applyFill="1" applyBorder="1"/>
    <xf numFmtId="0" fontId="2" fillId="8" borderId="0" xfId="0" applyFont="1" applyFill="1" applyAlignment="1">
      <alignment horizontal="left"/>
    </xf>
    <xf numFmtId="0" fontId="2" fillId="8" borderId="0" xfId="0" applyFont="1" applyFill="1"/>
    <xf numFmtId="0" fontId="32"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2" fontId="1" fillId="3" borderId="1" xfId="0" applyNumberFormat="1" applyFont="1" applyFill="1" applyBorder="1" applyAlignment="1">
      <alignment horizontal="center" wrapText="1"/>
    </xf>
    <xf numFmtId="2" fontId="1" fillId="0" borderId="2" xfId="0" applyNumberFormat="1" applyFont="1" applyBorder="1" applyAlignment="1">
      <alignment horizontal="center" wrapText="1"/>
    </xf>
    <xf numFmtId="0" fontId="0" fillId="0" borderId="0" xfId="0" applyFont="1" applyAlignment="1">
      <alignment horizontal="center" wrapText="1"/>
    </xf>
    <xf numFmtId="0" fontId="14" fillId="3" borderId="1" xfId="0" applyFont="1" applyFill="1" applyBorder="1"/>
    <xf numFmtId="164" fontId="0" fillId="0" borderId="3" xfId="0" applyNumberFormat="1" applyFont="1" applyBorder="1" applyAlignment="1">
      <alignment horizontal="center"/>
    </xf>
    <xf numFmtId="164" fontId="0" fillId="0" borderId="4" xfId="0" applyNumberFormat="1" applyFont="1" applyBorder="1" applyAlignment="1">
      <alignment horizontal="center"/>
    </xf>
    <xf numFmtId="164" fontId="0" fillId="0" borderId="5" xfId="0" applyNumberFormat="1" applyFon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Fill="1"/>
    <xf numFmtId="164" fontId="0" fillId="0" borderId="6" xfId="0" applyNumberFormat="1" applyFont="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0" fontId="35" fillId="0" borderId="0" xfId="0" applyFont="1" applyFill="1"/>
    <xf numFmtId="0" fontId="36" fillId="0" borderId="0" xfId="0" applyFont="1" applyFill="1"/>
    <xf numFmtId="164" fontId="0" fillId="0" borderId="0" xfId="0" applyNumberFormat="1" applyFont="1" applyFill="1" applyBorder="1" applyAlignment="1">
      <alignment horizontal="center"/>
    </xf>
    <xf numFmtId="164" fontId="0" fillId="0" borderId="7" xfId="0" applyNumberFormat="1" applyFont="1" applyFill="1" applyBorder="1" applyAlignment="1">
      <alignment horizontal="center"/>
    </xf>
    <xf numFmtId="164" fontId="0" fillId="3" borderId="6" xfId="0" applyNumberFormat="1" applyFont="1" applyFill="1" applyBorder="1" applyAlignment="1">
      <alignment horizontal="center"/>
    </xf>
    <xf numFmtId="164" fontId="0" fillId="3" borderId="0" xfId="0" applyNumberFormat="1" applyFont="1" applyFill="1" applyBorder="1" applyAlignment="1">
      <alignment horizontal="center"/>
    </xf>
    <xf numFmtId="0" fontId="0" fillId="3" borderId="0" xfId="0" applyFont="1" applyFill="1" applyBorder="1" applyAlignment="1">
      <alignment horizontal="center"/>
    </xf>
    <xf numFmtId="0" fontId="0" fillId="3" borderId="7" xfId="0" applyFont="1" applyFill="1" applyBorder="1" applyAlignment="1">
      <alignment horizontal="center"/>
    </xf>
    <xf numFmtId="0" fontId="37" fillId="3" borderId="1" xfId="0" applyFont="1" applyFill="1" applyBorder="1"/>
    <xf numFmtId="0" fontId="14" fillId="9" borderId="1" xfId="0" applyFont="1" applyFill="1" applyBorder="1"/>
    <xf numFmtId="0" fontId="37" fillId="9" borderId="1" xfId="0" applyFont="1" applyFill="1" applyBorder="1"/>
    <xf numFmtId="164" fontId="0" fillId="3" borderId="7" xfId="0" applyNumberFormat="1" applyFont="1" applyFill="1" applyBorder="1" applyAlignment="1">
      <alignment horizontal="center"/>
    </xf>
    <xf numFmtId="164" fontId="0" fillId="0" borderId="6" xfId="0" applyNumberFormat="1" applyFont="1" applyFill="1" applyBorder="1" applyAlignment="1">
      <alignment horizontal="center"/>
    </xf>
    <xf numFmtId="0" fontId="14" fillId="0" borderId="0" xfId="0" applyFont="1"/>
    <xf numFmtId="0" fontId="14" fillId="3" borderId="1" xfId="0" applyFont="1" applyFill="1" applyBorder="1" applyAlignment="1">
      <alignment horizontal="left"/>
    </xf>
    <xf numFmtId="0" fontId="14" fillId="9" borderId="1" xfId="0" applyFont="1" applyFill="1" applyBorder="1" applyAlignment="1">
      <alignment horizontal="left"/>
    </xf>
    <xf numFmtId="0" fontId="0" fillId="0" borderId="0" xfId="0" applyFont="1" applyFill="1" applyAlignment="1">
      <alignment horizontal="right"/>
    </xf>
    <xf numFmtId="0" fontId="14" fillId="2" borderId="1" xfId="0" applyFont="1" applyFill="1" applyBorder="1"/>
    <xf numFmtId="0" fontId="37" fillId="2" borderId="1" xfId="0" applyFont="1" applyFill="1" applyBorder="1"/>
    <xf numFmtId="164" fontId="14" fillId="0" borderId="6" xfId="0" applyNumberFormat="1" applyFont="1" applyBorder="1" applyAlignment="1">
      <alignment horizontal="center"/>
    </xf>
    <xf numFmtId="164" fontId="14" fillId="0" borderId="0" xfId="0" applyNumberFormat="1" applyFont="1" applyBorder="1" applyAlignment="1">
      <alignment horizontal="center"/>
    </xf>
    <xf numFmtId="164" fontId="14" fillId="0" borderId="7" xfId="0" applyNumberFormat="1" applyFont="1" applyBorder="1" applyAlignment="1">
      <alignment horizontal="center"/>
    </xf>
    <xf numFmtId="164" fontId="0" fillId="3" borderId="8" xfId="0" applyNumberFormat="1" applyFont="1" applyFill="1" applyBorder="1" applyAlignment="1">
      <alignment horizontal="center"/>
    </xf>
    <xf numFmtId="164" fontId="0" fillId="3" borderId="9" xfId="0" applyNumberFormat="1" applyFont="1" applyFill="1" applyBorder="1" applyAlignment="1">
      <alignment horizontal="center"/>
    </xf>
    <xf numFmtId="0" fontId="0" fillId="3" borderId="9" xfId="0" applyFont="1" applyFill="1" applyBorder="1" applyAlignment="1">
      <alignment horizontal="center"/>
    </xf>
    <xf numFmtId="0" fontId="0" fillId="3" borderId="10" xfId="0" applyFont="1" applyFill="1" applyBorder="1" applyAlignment="1">
      <alignment horizontal="center"/>
    </xf>
    <xf numFmtId="164" fontId="0" fillId="0" borderId="0" xfId="0" applyNumberFormat="1" applyFont="1"/>
    <xf numFmtId="2" fontId="2" fillId="0" borderId="0" xfId="0" applyNumberFormat="1" applyFont="1" applyAlignment="1" applyProtection="1">
      <alignment horizontal="right" wrapText="1"/>
    </xf>
    <xf numFmtId="164" fontId="2" fillId="0" borderId="0" xfId="0" applyNumberFormat="1" applyFont="1" applyAlignment="1" applyProtection="1">
      <alignment horizontal="right" wrapText="1"/>
    </xf>
    <xf numFmtId="2" fontId="2" fillId="0" borderId="0" xfId="0" applyNumberFormat="1" applyFont="1" applyAlignment="1">
      <alignment horizontal="right" vertical="center" wrapText="1"/>
    </xf>
    <xf numFmtId="2" fontId="28" fillId="0" borderId="0" xfId="0" applyNumberFormat="1" applyFont="1" applyAlignment="1">
      <alignment horizontal="right" vertical="center" wrapText="1"/>
    </xf>
    <xf numFmtId="2" fontId="2" fillId="2" borderId="0" xfId="0" applyNumberFormat="1" applyFont="1" applyFill="1" applyAlignment="1" applyProtection="1">
      <alignment horizontal="right" wrapText="1"/>
    </xf>
    <xf numFmtId="164" fontId="2" fillId="2" borderId="0" xfId="0" applyNumberFormat="1" applyFont="1" applyFill="1" applyAlignment="1" applyProtection="1">
      <alignment horizontal="right" wrapText="1"/>
    </xf>
    <xf numFmtId="2" fontId="28" fillId="2" borderId="0" xfId="0" applyNumberFormat="1" applyFont="1" applyFill="1" applyAlignment="1">
      <alignment horizontal="right" vertical="center" wrapText="1"/>
    </xf>
    <xf numFmtId="0" fontId="0" fillId="0" borderId="0" xfId="0" applyFont="1" applyFill="1" applyBorder="1"/>
    <xf numFmtId="164" fontId="0" fillId="2" borderId="0" xfId="0" applyNumberFormat="1" applyFont="1" applyFill="1"/>
    <xf numFmtId="164" fontId="0" fillId="0" borderId="0" xfId="0" applyNumberFormat="1" applyFont="1" applyFill="1"/>
    <xf numFmtId="164" fontId="2" fillId="10" borderId="0" xfId="0" applyNumberFormat="1" applyFont="1" applyFill="1"/>
    <xf numFmtId="0" fontId="0" fillId="0" borderId="9" xfId="0" applyBorder="1" applyAlignment="1"/>
    <xf numFmtId="0" fontId="1" fillId="0" borderId="0" xfId="0" applyFont="1" applyAlignment="1"/>
    <xf numFmtId="0" fontId="1" fillId="2" borderId="0" xfId="0" applyFont="1" applyFill="1" applyAlignment="1"/>
    <xf numFmtId="164" fontId="0" fillId="9" borderId="0" xfId="0" applyNumberFormat="1" applyFont="1" applyFill="1"/>
    <xf numFmtId="0" fontId="0" fillId="9" borderId="0" xfId="0" applyFon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 xfId="0" applyBorder="1"/>
    <xf numFmtId="1" fontId="9" fillId="4" borderId="1" xfId="0" applyNumberFormat="1" applyFont="1" applyFill="1" applyBorder="1" applyAlignment="1">
      <alignment horizontal="center" vertical="center"/>
    </xf>
    <xf numFmtId="0" fontId="2" fillId="10" borderId="0" xfId="0" applyFont="1" applyFill="1" applyAlignment="1">
      <alignment horizontal="right"/>
    </xf>
    <xf numFmtId="0" fontId="2" fillId="0" borderId="0" xfId="0" applyFont="1" applyFill="1" applyAlignment="1" applyProtection="1">
      <alignment horizontal="left" wrapText="1"/>
    </xf>
    <xf numFmtId="0" fontId="0" fillId="0" borderId="0" xfId="0" applyFont="1" applyAlignment="1">
      <alignment horizontal="left"/>
    </xf>
    <xf numFmtId="0" fontId="2" fillId="0" borderId="0" xfId="0" applyFont="1" applyFill="1" applyAlignment="1" applyProtection="1">
      <alignment wrapText="1"/>
    </xf>
    <xf numFmtId="165" fontId="2" fillId="0" borderId="0" xfId="0" applyNumberFormat="1" applyFont="1" applyFill="1" applyAlignment="1" applyProtection="1">
      <alignment wrapText="1"/>
    </xf>
    <xf numFmtId="1" fontId="2" fillId="0" borderId="0" xfId="0" applyNumberFormat="1" applyFont="1" applyFill="1" applyAlignment="1" applyProtection="1">
      <alignment wrapText="1"/>
    </xf>
    <xf numFmtId="0" fontId="2" fillId="0" borderId="0" xfId="0" applyFont="1" applyFill="1" applyAlignment="1" applyProtection="1">
      <alignment horizontal="left"/>
    </xf>
    <xf numFmtId="2" fontId="2" fillId="0" borderId="0" xfId="0" applyNumberFormat="1" applyFont="1" applyFill="1" applyAlignment="1">
      <alignment horizontal="center" vertical="center" wrapText="1"/>
    </xf>
    <xf numFmtId="2" fontId="2" fillId="0" borderId="0" xfId="0" applyNumberFormat="1" applyFont="1" applyFill="1" applyAlignment="1">
      <alignment horizontal="right" vertical="center" wrapText="1"/>
    </xf>
    <xf numFmtId="0" fontId="2" fillId="0" borderId="0" xfId="0" applyFont="1" applyFill="1" applyAlignment="1">
      <alignment horizontal="left" vertical="center"/>
    </xf>
    <xf numFmtId="1" fontId="2" fillId="0" borderId="0" xfId="0" applyNumberFormat="1" applyFont="1" applyFill="1" applyAlignment="1" applyProtection="1">
      <alignment horizontal="center" wrapText="1"/>
    </xf>
    <xf numFmtId="0" fontId="0" fillId="0" borderId="16" xfId="0" applyFont="1" applyBorder="1"/>
    <xf numFmtId="0" fontId="0" fillId="0" borderId="17" xfId="0" applyFont="1" applyBorder="1"/>
    <xf numFmtId="0" fontId="31" fillId="0" borderId="17" xfId="0" applyFont="1" applyBorder="1"/>
    <xf numFmtId="0" fontId="0" fillId="0" borderId="17" xfId="0" applyFont="1" applyFill="1" applyBorder="1"/>
    <xf numFmtId="0" fontId="14" fillId="0" borderId="17" xfId="0" applyFont="1" applyFill="1" applyBorder="1"/>
    <xf numFmtId="0" fontId="14" fillId="0" borderId="17" xfId="0" applyFont="1" applyBorder="1"/>
    <xf numFmtId="0" fontId="0" fillId="0" borderId="17" xfId="0" applyBorder="1"/>
    <xf numFmtId="0" fontId="0" fillId="0" borderId="17" xfId="0" quotePrefix="1" applyFont="1" applyFill="1" applyBorder="1"/>
    <xf numFmtId="0" fontId="0" fillId="0" borderId="17" xfId="0" quotePrefix="1" applyFont="1" applyBorder="1"/>
    <xf numFmtId="0" fontId="0" fillId="0" borderId="18" xfId="0" applyFont="1" applyBorder="1"/>
    <xf numFmtId="0" fontId="0" fillId="0" borderId="3"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164" fontId="0" fillId="0" borderId="6" xfId="0" applyNumberFormat="1" applyFont="1" applyBorder="1" applyAlignment="1">
      <alignment horizontal="right"/>
    </xf>
    <xf numFmtId="164" fontId="0" fillId="0" borderId="7" xfId="0" applyNumberFormat="1" applyFont="1" applyBorder="1" applyAlignment="1">
      <alignment horizontal="right"/>
    </xf>
    <xf numFmtId="0" fontId="0" fillId="0" borderId="6" xfId="0" applyFont="1" applyFill="1" applyBorder="1" applyAlignment="1">
      <alignment horizontal="right"/>
    </xf>
    <xf numFmtId="0" fontId="0" fillId="0" borderId="7" xfId="0" applyFont="1" applyFill="1" applyBorder="1" applyAlignment="1">
      <alignment horizontal="right"/>
    </xf>
    <xf numFmtId="164" fontId="0" fillId="0" borderId="6" xfId="0" applyNumberFormat="1" applyFont="1" applyFill="1" applyBorder="1" applyAlignment="1">
      <alignment horizontal="right"/>
    </xf>
    <xf numFmtId="164" fontId="0" fillId="0" borderId="7" xfId="0" applyNumberFormat="1" applyFont="1" applyFill="1" applyBorder="1" applyAlignment="1">
      <alignment horizontal="right"/>
    </xf>
    <xf numFmtId="164" fontId="14" fillId="0" borderId="6" xfId="0" applyNumberFormat="1" applyFont="1" applyFill="1" applyBorder="1" applyAlignment="1">
      <alignment horizontal="right"/>
    </xf>
    <xf numFmtId="164" fontId="14" fillId="0" borderId="7" xfId="0" applyNumberFormat="1" applyFont="1" applyFill="1" applyBorder="1" applyAlignment="1">
      <alignment horizontal="right"/>
    </xf>
    <xf numFmtId="0" fontId="0" fillId="0" borderId="8" xfId="0" applyFont="1" applyBorder="1" applyAlignment="1">
      <alignment horizontal="right"/>
    </xf>
    <xf numFmtId="0" fontId="0" fillId="0" borderId="10" xfId="0" applyFont="1" applyBorder="1" applyAlignment="1">
      <alignment horizontal="right"/>
    </xf>
    <xf numFmtId="0" fontId="34" fillId="0" borderId="1" xfId="0" applyFont="1" applyFill="1" applyBorder="1" applyAlignment="1">
      <alignment horizontal="center" wrapText="1"/>
    </xf>
    <xf numFmtId="164" fontId="9" fillId="0" borderId="1" xfId="0" applyNumberFormat="1" applyFont="1" applyFill="1" applyBorder="1" applyAlignment="1">
      <alignment horizontal="center" vertical="center"/>
    </xf>
    <xf numFmtId="0" fontId="41" fillId="0" borderId="0" xfId="0" applyFont="1"/>
    <xf numFmtId="0" fontId="2" fillId="0" borderId="0" xfId="0" applyFont="1" applyFill="1" applyAlignment="1" applyProtection="1">
      <alignment horizontal="left" wrapText="1"/>
    </xf>
    <xf numFmtId="0" fontId="1" fillId="0" borderId="0" xfId="0" applyFont="1" applyAlignment="1">
      <alignment horizontal="left"/>
    </xf>
    <xf numFmtId="0" fontId="0" fillId="0" borderId="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7"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85" zoomScaleNormal="85" workbookViewId="0"/>
  </sheetViews>
  <sheetFormatPr defaultRowHeight="14.5" x14ac:dyDescent="0.35"/>
  <cols>
    <col min="1" max="1" width="83.54296875" customWidth="1"/>
  </cols>
  <sheetData>
    <row r="1" spans="1:13" x14ac:dyDescent="0.35">
      <c r="A1" s="165"/>
    </row>
    <row r="2" spans="1:13" ht="28.5" customHeight="1" x14ac:dyDescent="0.35">
      <c r="A2" s="165" t="s">
        <v>770</v>
      </c>
      <c r="B2" s="3"/>
      <c r="C2" s="3"/>
      <c r="D2" s="3"/>
      <c r="E2" s="3"/>
      <c r="F2" s="3"/>
      <c r="G2" s="3"/>
      <c r="H2" s="3"/>
      <c r="I2" s="3"/>
      <c r="J2" s="3"/>
      <c r="K2" s="3"/>
      <c r="L2" s="3"/>
      <c r="M2" s="3"/>
    </row>
    <row r="3" spans="1:13" ht="49.5" customHeight="1" x14ac:dyDescent="0.35">
      <c r="A3" s="166" t="s">
        <v>1875</v>
      </c>
      <c r="B3" s="3"/>
      <c r="C3" s="3"/>
      <c r="D3" s="3"/>
      <c r="E3" s="3"/>
      <c r="F3" s="3"/>
      <c r="G3" s="3"/>
      <c r="H3" s="3"/>
      <c r="I3" s="3"/>
      <c r="J3" s="3"/>
      <c r="K3" s="3"/>
      <c r="L3" s="3"/>
      <c r="M3" s="3"/>
    </row>
    <row r="4" spans="1:13" s="31" customFormat="1" ht="62.5" customHeight="1" x14ac:dyDescent="0.35">
      <c r="A4" s="166" t="s">
        <v>1848</v>
      </c>
      <c r="B4" s="29"/>
      <c r="C4" s="29"/>
      <c r="D4" s="29"/>
      <c r="E4" s="29"/>
      <c r="F4" s="29"/>
      <c r="G4" s="29"/>
      <c r="H4" s="29"/>
      <c r="I4" s="29"/>
      <c r="J4" s="29"/>
      <c r="K4" s="29"/>
      <c r="L4" s="29"/>
      <c r="M4" s="29"/>
    </row>
    <row r="5" spans="1:13" s="31" customFormat="1" ht="51.75" customHeight="1" x14ac:dyDescent="0.35">
      <c r="A5" s="166" t="s">
        <v>1851</v>
      </c>
      <c r="B5" s="29"/>
      <c r="C5" s="29"/>
      <c r="D5" s="29"/>
      <c r="E5" s="29"/>
      <c r="F5" s="29"/>
      <c r="G5" s="29"/>
      <c r="H5" s="29"/>
      <c r="I5" s="29"/>
      <c r="J5" s="29"/>
      <c r="K5" s="29"/>
      <c r="L5" s="29"/>
      <c r="M5" s="29"/>
    </row>
    <row r="6" spans="1:13" s="31" customFormat="1" ht="53.25" customHeight="1" x14ac:dyDescent="0.35">
      <c r="A6" s="166" t="s">
        <v>1159</v>
      </c>
      <c r="B6" s="29"/>
      <c r="C6" s="29"/>
      <c r="D6" s="29"/>
      <c r="E6" s="29"/>
      <c r="F6" s="29"/>
      <c r="G6" s="29"/>
      <c r="H6" s="29"/>
      <c r="I6" s="29"/>
      <c r="J6" s="29"/>
      <c r="K6" s="29"/>
      <c r="L6" s="29"/>
      <c r="M6" s="29"/>
    </row>
    <row r="7" spans="1:13" s="31" customFormat="1" ht="38.25" customHeight="1" x14ac:dyDescent="0.35">
      <c r="A7" s="167" t="s">
        <v>1168</v>
      </c>
      <c r="B7" s="29"/>
      <c r="C7" s="29"/>
      <c r="D7" s="29"/>
      <c r="E7" s="29"/>
      <c r="F7" s="29"/>
      <c r="G7" s="29"/>
      <c r="H7" s="29"/>
      <c r="I7" s="29"/>
      <c r="J7" s="29"/>
      <c r="K7" s="29"/>
      <c r="L7" s="29"/>
      <c r="M7" s="29"/>
    </row>
    <row r="8" spans="1:13" s="31" customFormat="1" ht="72.5" customHeight="1" x14ac:dyDescent="0.35">
      <c r="A8" s="166" t="s">
        <v>1474</v>
      </c>
      <c r="B8" s="29"/>
      <c r="C8" s="29"/>
      <c r="D8" s="29"/>
      <c r="E8" s="29"/>
      <c r="F8" s="163"/>
      <c r="G8" s="29"/>
      <c r="H8" s="29"/>
      <c r="I8" s="29"/>
      <c r="J8" s="29"/>
      <c r="K8" s="29"/>
      <c r="L8" s="29"/>
      <c r="M8" s="29"/>
    </row>
    <row r="9" spans="1:13" s="31" customFormat="1" ht="84" customHeight="1" x14ac:dyDescent="0.35">
      <c r="A9" s="166" t="s">
        <v>1852</v>
      </c>
      <c r="B9" s="29"/>
      <c r="C9" s="29"/>
      <c r="D9" s="29"/>
      <c r="E9" s="29"/>
      <c r="F9" s="29"/>
      <c r="G9" s="29"/>
      <c r="H9" s="29"/>
      <c r="I9" s="29"/>
      <c r="J9" s="29"/>
      <c r="K9" s="29"/>
      <c r="L9" s="29"/>
      <c r="M9" s="29"/>
    </row>
    <row r="10" spans="1:13" s="31" customFormat="1" ht="80.25" customHeight="1" x14ac:dyDescent="0.35">
      <c r="A10" s="166" t="s">
        <v>1478</v>
      </c>
      <c r="B10" s="29"/>
      <c r="C10" s="29"/>
      <c r="D10" s="29"/>
      <c r="E10" s="29"/>
      <c r="F10" s="29"/>
      <c r="G10" s="29"/>
      <c r="H10" s="29"/>
      <c r="I10" s="29"/>
      <c r="J10" s="29"/>
      <c r="K10" s="29"/>
      <c r="L10" s="29"/>
      <c r="M10" s="29"/>
    </row>
    <row r="11" spans="1:13" x14ac:dyDescent="0.35">
      <c r="A11" s="3"/>
      <c r="B11" s="3"/>
      <c r="C11" s="3"/>
      <c r="D11" s="3"/>
      <c r="E11" s="3"/>
      <c r="F11" s="3"/>
      <c r="G11" s="3"/>
      <c r="H11" s="3"/>
      <c r="I11" s="3"/>
      <c r="J11" s="3"/>
      <c r="K11" s="3"/>
      <c r="L11" s="3"/>
      <c r="M11" s="3"/>
    </row>
    <row r="12" spans="1:13" x14ac:dyDescent="0.35">
      <c r="A12" s="285" t="s">
        <v>1850</v>
      </c>
      <c r="B12" s="3"/>
      <c r="C12" s="3"/>
      <c r="D12" s="3"/>
      <c r="E12" s="3"/>
      <c r="F12" s="3"/>
      <c r="G12" s="3"/>
      <c r="H12" s="3"/>
      <c r="I12" s="3"/>
      <c r="J12" s="3"/>
      <c r="K12" s="3"/>
      <c r="L12" s="3"/>
      <c r="M12" s="3"/>
    </row>
    <row r="13" spans="1:13" x14ac:dyDescent="0.35">
      <c r="A13" s="3"/>
      <c r="B13" s="3"/>
      <c r="C13" s="3"/>
      <c r="D13" s="3"/>
      <c r="E13" s="3"/>
      <c r="F13" s="3"/>
      <c r="G13" s="3"/>
      <c r="H13" s="3"/>
      <c r="I13" s="3"/>
      <c r="J13" s="3"/>
      <c r="K13" s="3"/>
      <c r="L13" s="3"/>
      <c r="M13" s="3"/>
    </row>
    <row r="14" spans="1:13" x14ac:dyDescent="0.35">
      <c r="A14" s="3"/>
      <c r="B14" s="3"/>
      <c r="C14" s="3"/>
      <c r="D14" s="3"/>
      <c r="E14" s="3"/>
      <c r="F14" s="3"/>
      <c r="G14" s="3"/>
      <c r="H14" s="3"/>
      <c r="I14" s="3"/>
      <c r="J14" s="3"/>
      <c r="K14" s="3"/>
      <c r="L14" s="3"/>
      <c r="M14" s="3"/>
    </row>
    <row r="15" spans="1:13" x14ac:dyDescent="0.35">
      <c r="A15" s="3"/>
      <c r="B15" s="3"/>
      <c r="C15" s="3"/>
      <c r="D15" s="3"/>
      <c r="E15" s="3"/>
      <c r="F15" s="3"/>
      <c r="G15" s="3"/>
      <c r="H15" s="3"/>
      <c r="I15" s="3"/>
      <c r="J15" s="3"/>
      <c r="K15" s="3"/>
      <c r="L15" s="3"/>
      <c r="M15" s="3"/>
    </row>
    <row r="16" spans="1:13" x14ac:dyDescent="0.35">
      <c r="A16" s="3"/>
      <c r="B16" s="3"/>
      <c r="C16" s="3"/>
      <c r="D16" s="3"/>
      <c r="E16" s="3"/>
      <c r="F16" s="3"/>
      <c r="G16" s="3"/>
      <c r="H16" s="3"/>
      <c r="I16" s="3"/>
      <c r="J16" s="3"/>
      <c r="K16" s="3"/>
      <c r="L16" s="3"/>
      <c r="M16" s="3"/>
    </row>
    <row r="17" spans="1:13" x14ac:dyDescent="0.35">
      <c r="A17" s="3"/>
      <c r="B17" s="3"/>
      <c r="C17" s="3"/>
      <c r="D17" s="3"/>
      <c r="E17" s="3"/>
      <c r="F17" s="3"/>
      <c r="G17" s="3"/>
      <c r="H17" s="3"/>
      <c r="I17" s="3"/>
      <c r="J17" s="3"/>
      <c r="K17" s="3"/>
      <c r="L17" s="3"/>
      <c r="M17" s="3"/>
    </row>
    <row r="18" spans="1:13" x14ac:dyDescent="0.35">
      <c r="A18" s="3"/>
      <c r="B18" s="3"/>
      <c r="C18" s="3"/>
      <c r="D18" s="3"/>
      <c r="E18" s="3"/>
      <c r="F18" s="3"/>
      <c r="G18" s="3"/>
      <c r="H18" s="3"/>
      <c r="I18" s="3"/>
      <c r="J18" s="3"/>
      <c r="K18" s="3"/>
      <c r="L18" s="3"/>
      <c r="M18" s="3"/>
    </row>
    <row r="19" spans="1:13" x14ac:dyDescent="0.35">
      <c r="A19" s="3"/>
      <c r="B19" s="3"/>
      <c r="C19" s="3"/>
      <c r="D19" s="3"/>
      <c r="E19" s="3"/>
      <c r="F19" s="3"/>
      <c r="G19" s="3"/>
      <c r="H19" s="3"/>
      <c r="I19" s="3"/>
      <c r="J19" s="3"/>
      <c r="K19" s="3"/>
      <c r="L19" s="3"/>
      <c r="M19"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567"/>
  <sheetViews>
    <sheetView zoomScale="80" zoomScaleNormal="80" workbookViewId="0">
      <pane xSplit="5" ySplit="1" topLeftCell="F520" activePane="bottomRight" state="frozen"/>
      <selection pane="topRight" activeCell="F1" sqref="F1"/>
      <selection pane="bottomLeft" activeCell="A2" sqref="A2"/>
      <selection pane="bottomRight" activeCell="M551" sqref="M551"/>
    </sheetView>
  </sheetViews>
  <sheetFormatPr defaultColWidth="9.08984375" defaultRowHeight="14.5" x14ac:dyDescent="0.35"/>
  <cols>
    <col min="1" max="1" width="9.08984375" style="3"/>
    <col min="2" max="2" width="14" style="3" customWidth="1"/>
    <col min="3" max="3" width="19.90625" style="3" customWidth="1"/>
    <col min="4" max="4" width="13.36328125" style="3" customWidth="1"/>
    <col min="5" max="5" width="14.453125" style="3" customWidth="1"/>
    <col min="6" max="6" width="33.08984375" style="3" customWidth="1"/>
    <col min="7" max="7" width="54.08984375" style="3" customWidth="1"/>
    <col min="8" max="8" width="19.6328125" style="32" customWidth="1"/>
    <col min="9" max="9" width="17" style="4" customWidth="1"/>
    <col min="10" max="10" width="12.08984375" style="4" customWidth="1"/>
    <col min="11" max="11" width="21" style="32" customWidth="1"/>
    <col min="12" max="12" width="14.6328125" style="32" customWidth="1"/>
    <col min="13" max="13" width="16" style="4" bestFit="1" customWidth="1"/>
    <col min="14" max="14" width="10.6328125" style="4" customWidth="1"/>
    <col min="15" max="15" width="16" style="32" customWidth="1"/>
    <col min="16" max="16" width="17.6328125" style="3" customWidth="1"/>
    <col min="17" max="17" width="12.36328125" style="3" bestFit="1" customWidth="1"/>
    <col min="18" max="18" width="16.08984375" style="3" customWidth="1"/>
    <col min="19" max="19" width="23" style="3" customWidth="1"/>
    <col min="20" max="20" width="18" style="3" bestFit="1" customWidth="1"/>
    <col min="21" max="21" width="18.90625" style="3" bestFit="1" customWidth="1"/>
    <col min="22" max="22" width="9.08984375" style="10"/>
    <col min="23" max="23" width="9.08984375" style="3"/>
    <col min="24" max="64" width="9.08984375" style="2"/>
    <col min="65" max="16384" width="9.08984375" style="1"/>
  </cols>
  <sheetData>
    <row r="1" spans="1:64" s="18" customFormat="1" ht="66.75" customHeight="1" x14ac:dyDescent="0.35">
      <c r="A1" s="19" t="s">
        <v>1038</v>
      </c>
      <c r="B1" s="19" t="s">
        <v>785</v>
      </c>
      <c r="C1" s="19" t="s">
        <v>784</v>
      </c>
      <c r="D1" s="19" t="s">
        <v>783</v>
      </c>
      <c r="E1" s="19" t="s">
        <v>782</v>
      </c>
      <c r="F1" s="19" t="s">
        <v>781</v>
      </c>
      <c r="G1" s="19" t="s">
        <v>770</v>
      </c>
      <c r="H1" s="22" t="s">
        <v>1031</v>
      </c>
      <c r="I1" s="23" t="s">
        <v>1032</v>
      </c>
      <c r="J1" s="23" t="s">
        <v>778</v>
      </c>
      <c r="K1" s="22" t="s">
        <v>780</v>
      </c>
      <c r="L1" s="22" t="s">
        <v>779</v>
      </c>
      <c r="M1" s="23" t="s">
        <v>1033</v>
      </c>
      <c r="N1" s="23" t="s">
        <v>778</v>
      </c>
      <c r="O1" s="22" t="s">
        <v>780</v>
      </c>
      <c r="P1" s="19" t="s">
        <v>777</v>
      </c>
      <c r="Q1" s="21" t="s">
        <v>776</v>
      </c>
      <c r="R1" s="21" t="s">
        <v>775</v>
      </c>
      <c r="S1" s="19" t="s">
        <v>774</v>
      </c>
      <c r="T1" s="19" t="s">
        <v>773</v>
      </c>
      <c r="U1" s="19" t="s">
        <v>772</v>
      </c>
      <c r="V1" s="20" t="s">
        <v>771</v>
      </c>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row>
    <row r="2" spans="1:64" s="171" customFormat="1" ht="15.65" customHeight="1" x14ac:dyDescent="0.35">
      <c r="A2" s="168"/>
      <c r="B2" s="251" t="s">
        <v>1480</v>
      </c>
      <c r="C2" s="251" t="s">
        <v>1481</v>
      </c>
      <c r="D2" s="251" t="s">
        <v>723</v>
      </c>
      <c r="E2" s="251" t="s">
        <v>82</v>
      </c>
      <c r="F2" s="168" t="s">
        <v>1483</v>
      </c>
      <c r="G2" s="168"/>
      <c r="H2" s="225">
        <v>1.26</v>
      </c>
      <c r="I2" s="226">
        <v>1.26</v>
      </c>
      <c r="J2" s="226"/>
      <c r="K2" s="225"/>
      <c r="L2" s="226" t="s">
        <v>1482</v>
      </c>
      <c r="M2" s="225">
        <v>1.32</v>
      </c>
      <c r="N2" s="225"/>
      <c r="O2" s="169"/>
      <c r="P2" s="168" t="s">
        <v>1484</v>
      </c>
      <c r="Q2" s="170" t="s">
        <v>87</v>
      </c>
      <c r="R2" s="170" t="s">
        <v>502</v>
      </c>
      <c r="S2" s="168" t="s">
        <v>1485</v>
      </c>
      <c r="T2" s="168" t="s">
        <v>1486</v>
      </c>
      <c r="U2" s="168" t="s">
        <v>13</v>
      </c>
      <c r="V2" s="286" t="s">
        <v>1487</v>
      </c>
      <c r="W2" s="286"/>
      <c r="X2" s="286"/>
      <c r="Y2" s="286"/>
      <c r="Z2" s="286"/>
      <c r="AA2" s="286"/>
      <c r="AB2" s="286"/>
      <c r="AC2" s="286"/>
      <c r="AD2" s="286"/>
      <c r="AE2" s="286"/>
      <c r="AF2" s="286"/>
      <c r="AG2" s="286"/>
      <c r="AH2" s="286"/>
      <c r="AI2" s="286"/>
      <c r="AJ2" s="286"/>
      <c r="AK2" s="286"/>
      <c r="AL2" s="286"/>
      <c r="AM2" s="286"/>
      <c r="AN2" s="286"/>
      <c r="AO2" s="286"/>
      <c r="AP2" s="286"/>
      <c r="AQ2" s="168"/>
      <c r="AR2" s="168"/>
      <c r="AS2" s="168"/>
      <c r="AT2" s="168"/>
      <c r="AU2" s="168"/>
      <c r="AV2" s="168"/>
      <c r="AW2" s="168"/>
      <c r="AX2" s="168"/>
      <c r="AY2" s="168"/>
      <c r="AZ2" s="168"/>
      <c r="BA2" s="168"/>
      <c r="BB2" s="168"/>
      <c r="BC2" s="168"/>
      <c r="BD2" s="168"/>
      <c r="BE2" s="168"/>
      <c r="BF2" s="168"/>
      <c r="BG2" s="168"/>
      <c r="BH2" s="168"/>
      <c r="BI2" s="168"/>
      <c r="BJ2" s="168"/>
      <c r="BK2" s="168"/>
      <c r="BL2" s="168"/>
    </row>
    <row r="3" spans="1:64" s="171" customFormat="1" ht="15.65" customHeight="1" x14ac:dyDescent="0.35">
      <c r="A3" s="168"/>
      <c r="B3" s="251" t="s">
        <v>1480</v>
      </c>
      <c r="C3" s="251" t="s">
        <v>1481</v>
      </c>
      <c r="D3" s="251" t="s">
        <v>1488</v>
      </c>
      <c r="E3" s="251" t="s">
        <v>82</v>
      </c>
      <c r="F3" s="168" t="s">
        <v>1483</v>
      </c>
      <c r="G3" s="168"/>
      <c r="H3" s="225">
        <v>2.06</v>
      </c>
      <c r="I3" s="226">
        <v>2.06</v>
      </c>
      <c r="J3" s="226"/>
      <c r="K3" s="225"/>
      <c r="L3" s="227" t="s">
        <v>1489</v>
      </c>
      <c r="M3" s="227">
        <v>1.0457836643333331</v>
      </c>
      <c r="N3" s="228"/>
      <c r="O3" s="169"/>
      <c r="P3" s="168" t="s">
        <v>1484</v>
      </c>
      <c r="Q3" s="170" t="s">
        <v>87</v>
      </c>
      <c r="R3" s="170" t="s">
        <v>502</v>
      </c>
      <c r="S3" s="168" t="s">
        <v>1485</v>
      </c>
      <c r="T3" s="168" t="s">
        <v>1486</v>
      </c>
      <c r="U3" s="168" t="s">
        <v>13</v>
      </c>
      <c r="V3" s="286" t="s">
        <v>1487</v>
      </c>
      <c r="W3" s="286"/>
      <c r="X3" s="286"/>
      <c r="Y3" s="286"/>
      <c r="Z3" s="286"/>
      <c r="AA3" s="286"/>
      <c r="AB3" s="286"/>
      <c r="AC3" s="286"/>
      <c r="AD3" s="286"/>
      <c r="AE3" s="286"/>
      <c r="AF3" s="286"/>
      <c r="AG3" s="286"/>
      <c r="AH3" s="286"/>
      <c r="AI3" s="286"/>
      <c r="AJ3" s="286"/>
      <c r="AK3" s="286"/>
      <c r="AL3" s="286"/>
      <c r="AM3" s="286"/>
      <c r="AN3" s="286"/>
      <c r="AO3" s="286"/>
      <c r="AP3" s="286"/>
      <c r="AQ3" s="168"/>
      <c r="AR3" s="168"/>
      <c r="AS3" s="168"/>
      <c r="AT3" s="168"/>
      <c r="AU3" s="168"/>
      <c r="AV3" s="168"/>
      <c r="AW3" s="168"/>
      <c r="AX3" s="168"/>
      <c r="AY3" s="168"/>
      <c r="AZ3" s="168"/>
      <c r="BA3" s="168"/>
      <c r="BB3" s="168"/>
      <c r="BC3" s="168"/>
      <c r="BD3" s="168"/>
      <c r="BE3" s="168"/>
      <c r="BF3" s="168"/>
      <c r="BG3" s="168"/>
      <c r="BH3" s="168"/>
      <c r="BI3" s="168"/>
      <c r="BJ3" s="168"/>
      <c r="BK3" s="168"/>
      <c r="BL3" s="168"/>
    </row>
    <row r="4" spans="1:64" s="176" customFormat="1" ht="15.65" customHeight="1" x14ac:dyDescent="0.35">
      <c r="A4" s="172" t="s">
        <v>857</v>
      </c>
      <c r="B4" s="172"/>
      <c r="C4" s="172" t="s">
        <v>1481</v>
      </c>
      <c r="D4" s="172"/>
      <c r="E4" s="172" t="s">
        <v>82</v>
      </c>
      <c r="F4" s="172"/>
      <c r="G4" s="172"/>
      <c r="H4" s="229"/>
      <c r="I4" s="230">
        <f>AVERAGE(I2:I3)</f>
        <v>1.6600000000000001</v>
      </c>
      <c r="J4" s="230">
        <f>STDEV(I2:I3)/SQRT(COUNT(I2:I3))</f>
        <v>0.39999999999999958</v>
      </c>
      <c r="K4" s="229"/>
      <c r="L4" s="231"/>
      <c r="M4" s="230">
        <f>AVERAGE(M2:M3)</f>
        <v>1.1828918321666666</v>
      </c>
      <c r="N4" s="230">
        <f>STDEV(M2:M3)/SQRT(COUNT(M2:M3))</f>
        <v>0.13710816783333329</v>
      </c>
      <c r="O4" s="173"/>
      <c r="P4" s="172"/>
      <c r="Q4" s="174"/>
      <c r="R4" s="174"/>
      <c r="S4" s="172"/>
      <c r="T4" s="172"/>
      <c r="U4" s="172"/>
      <c r="V4" s="175"/>
      <c r="W4" s="175"/>
      <c r="X4" s="175"/>
      <c r="Y4" s="175"/>
      <c r="Z4" s="175"/>
      <c r="AA4" s="175"/>
      <c r="AB4" s="175"/>
      <c r="AC4" s="175"/>
      <c r="AD4" s="175"/>
      <c r="AE4" s="175"/>
      <c r="AF4" s="175"/>
      <c r="AG4" s="175"/>
      <c r="AH4" s="175"/>
      <c r="AI4" s="175"/>
      <c r="AJ4" s="175"/>
      <c r="AK4" s="175"/>
      <c r="AL4" s="175"/>
      <c r="AM4" s="175"/>
      <c r="AN4" s="175"/>
      <c r="AO4" s="175"/>
      <c r="AP4" s="175"/>
      <c r="AQ4" s="172"/>
      <c r="AR4" s="172"/>
      <c r="AS4" s="172"/>
      <c r="AT4" s="172"/>
      <c r="AU4" s="172"/>
      <c r="AV4" s="172"/>
      <c r="AW4" s="172"/>
      <c r="AX4" s="172"/>
      <c r="AY4" s="172"/>
      <c r="AZ4" s="172"/>
      <c r="BA4" s="172"/>
      <c r="BB4" s="172"/>
      <c r="BC4" s="172"/>
      <c r="BD4" s="172"/>
      <c r="BE4" s="172"/>
      <c r="BF4" s="172"/>
      <c r="BG4" s="172"/>
      <c r="BH4" s="172"/>
      <c r="BI4" s="172"/>
      <c r="BJ4" s="172"/>
      <c r="BK4" s="172"/>
      <c r="BL4" s="172"/>
    </row>
    <row r="5" spans="1:64" x14ac:dyDescent="0.35">
      <c r="A5" s="2"/>
      <c r="B5" s="3" t="s">
        <v>653</v>
      </c>
      <c r="C5" s="3" t="s">
        <v>673</v>
      </c>
      <c r="D5" s="3" t="s">
        <v>732</v>
      </c>
      <c r="E5" s="3" t="s">
        <v>734</v>
      </c>
      <c r="F5" s="3" t="s">
        <v>59</v>
      </c>
      <c r="I5" s="4">
        <v>6.29</v>
      </c>
      <c r="M5" s="4">
        <v>1.44</v>
      </c>
      <c r="P5" s="3" t="s">
        <v>28</v>
      </c>
      <c r="Q5" s="26" t="s">
        <v>194</v>
      </c>
      <c r="R5" s="3" t="s">
        <v>26</v>
      </c>
      <c r="S5" s="3" t="s">
        <v>25</v>
      </c>
      <c r="U5" s="3" t="s">
        <v>24</v>
      </c>
      <c r="V5" s="10" t="s">
        <v>23</v>
      </c>
    </row>
    <row r="6" spans="1:64" x14ac:dyDescent="0.35">
      <c r="A6" s="2"/>
      <c r="B6" s="3" t="s">
        <v>653</v>
      </c>
      <c r="C6" s="3" t="s">
        <v>673</v>
      </c>
      <c r="D6" s="3" t="s">
        <v>1491</v>
      </c>
      <c r="E6" s="3" t="s">
        <v>734</v>
      </c>
      <c r="F6" s="3" t="s">
        <v>19</v>
      </c>
      <c r="H6" s="32" t="s">
        <v>769</v>
      </c>
      <c r="I6" s="4">
        <v>5.85</v>
      </c>
      <c r="J6" s="4">
        <v>2.75</v>
      </c>
      <c r="M6" s="4">
        <v>1.57</v>
      </c>
      <c r="P6" s="3" t="s">
        <v>28</v>
      </c>
      <c r="Q6" s="26" t="s">
        <v>194</v>
      </c>
      <c r="R6" s="3" t="s">
        <v>26</v>
      </c>
      <c r="S6" s="3" t="s">
        <v>25</v>
      </c>
      <c r="U6" s="3" t="s">
        <v>24</v>
      </c>
      <c r="V6" s="10" t="s">
        <v>23</v>
      </c>
    </row>
    <row r="7" spans="1:64" x14ac:dyDescent="0.35">
      <c r="A7" s="2"/>
      <c r="B7" s="3" t="s">
        <v>653</v>
      </c>
      <c r="C7" s="3" t="s">
        <v>673</v>
      </c>
      <c r="D7" s="3" t="s">
        <v>1491</v>
      </c>
      <c r="E7" s="3" t="s">
        <v>734</v>
      </c>
      <c r="F7" s="3" t="s">
        <v>19</v>
      </c>
      <c r="I7" s="4">
        <v>11.154</v>
      </c>
      <c r="J7" s="4">
        <v>0.47599999999999998</v>
      </c>
      <c r="K7" s="32">
        <v>12</v>
      </c>
      <c r="P7" s="3" t="s">
        <v>760</v>
      </c>
      <c r="Q7" s="37" t="s">
        <v>765</v>
      </c>
      <c r="R7" s="3" t="s">
        <v>764</v>
      </c>
      <c r="S7" s="3" t="s">
        <v>768</v>
      </c>
      <c r="T7" s="3" t="s">
        <v>767</v>
      </c>
      <c r="U7" s="3" t="s">
        <v>24</v>
      </c>
      <c r="V7" s="10" t="s">
        <v>766</v>
      </c>
    </row>
    <row r="8" spans="1:64" x14ac:dyDescent="0.35">
      <c r="A8" s="2"/>
      <c r="B8" s="3" t="s">
        <v>653</v>
      </c>
      <c r="C8" s="3" t="s">
        <v>673</v>
      </c>
      <c r="D8" s="3" t="s">
        <v>1491</v>
      </c>
      <c r="E8" s="3" t="s">
        <v>734</v>
      </c>
      <c r="F8" s="3" t="s">
        <v>19</v>
      </c>
      <c r="I8" s="4">
        <v>12.096</v>
      </c>
      <c r="J8" s="4">
        <v>0.99839999999999995</v>
      </c>
      <c r="K8" s="32">
        <v>12</v>
      </c>
      <c r="P8" s="3" t="s">
        <v>760</v>
      </c>
      <c r="Q8" s="37" t="s">
        <v>765</v>
      </c>
      <c r="R8" s="3" t="s">
        <v>764</v>
      </c>
      <c r="S8" s="3" t="s">
        <v>763</v>
      </c>
      <c r="T8" s="3" t="s">
        <v>762</v>
      </c>
      <c r="U8" s="3" t="s">
        <v>24</v>
      </c>
      <c r="V8" s="10" t="s">
        <v>766</v>
      </c>
    </row>
    <row r="9" spans="1:64" x14ac:dyDescent="0.35">
      <c r="A9" s="2"/>
      <c r="B9" s="3" t="s">
        <v>653</v>
      </c>
      <c r="C9" s="3" t="s">
        <v>673</v>
      </c>
      <c r="D9" s="3" t="s">
        <v>1491</v>
      </c>
      <c r="E9" s="3" t="s">
        <v>734</v>
      </c>
      <c r="F9" s="3" t="s">
        <v>19</v>
      </c>
      <c r="I9" s="4">
        <v>10.5</v>
      </c>
      <c r="J9" s="4">
        <v>2.5</v>
      </c>
      <c r="K9" s="32" t="s">
        <v>761</v>
      </c>
      <c r="P9" s="3" t="s">
        <v>760</v>
      </c>
      <c r="Q9" s="37" t="s">
        <v>27</v>
      </c>
      <c r="R9" s="3" t="s">
        <v>713</v>
      </c>
      <c r="S9" s="3" t="s">
        <v>712</v>
      </c>
      <c r="U9" s="3" t="s">
        <v>24</v>
      </c>
      <c r="V9" s="10" t="s">
        <v>759</v>
      </c>
    </row>
    <row r="10" spans="1:64" x14ac:dyDescent="0.35">
      <c r="A10" s="2"/>
      <c r="B10" s="3" t="s">
        <v>653</v>
      </c>
      <c r="C10" s="3" t="s">
        <v>673</v>
      </c>
      <c r="D10" s="3" t="s">
        <v>1491</v>
      </c>
      <c r="E10" s="3" t="s">
        <v>734</v>
      </c>
      <c r="F10" s="3" t="s">
        <v>329</v>
      </c>
      <c r="H10" s="32" t="s">
        <v>758</v>
      </c>
      <c r="I10" s="4">
        <v>6.26</v>
      </c>
      <c r="J10" s="4">
        <v>0.4</v>
      </c>
      <c r="K10" s="32">
        <v>35</v>
      </c>
      <c r="L10" s="32" t="s">
        <v>757</v>
      </c>
      <c r="M10" s="4">
        <v>1.03</v>
      </c>
      <c r="N10" s="4">
        <v>0.03</v>
      </c>
      <c r="O10" s="32">
        <v>35</v>
      </c>
      <c r="P10" s="3" t="s">
        <v>604</v>
      </c>
      <c r="Q10" s="26" t="s">
        <v>225</v>
      </c>
      <c r="R10" s="3" t="s">
        <v>4</v>
      </c>
      <c r="S10" s="3" t="s">
        <v>603</v>
      </c>
      <c r="T10" s="3" t="s">
        <v>100</v>
      </c>
      <c r="U10" s="3" t="s">
        <v>1215</v>
      </c>
      <c r="V10" s="29" t="s">
        <v>602</v>
      </c>
    </row>
    <row r="11" spans="1:64" x14ac:dyDescent="0.35">
      <c r="A11" s="2"/>
      <c r="B11" s="3" t="s">
        <v>653</v>
      </c>
      <c r="C11" s="3" t="s">
        <v>673</v>
      </c>
      <c r="D11" s="3" t="s">
        <v>1491</v>
      </c>
      <c r="E11" s="3" t="s">
        <v>734</v>
      </c>
      <c r="F11" s="3" t="s">
        <v>407</v>
      </c>
      <c r="M11" s="4">
        <v>1.0900000000000001</v>
      </c>
      <c r="N11" s="4">
        <v>0.06</v>
      </c>
      <c r="O11" s="32">
        <v>5</v>
      </c>
      <c r="P11" s="3" t="s">
        <v>710</v>
      </c>
      <c r="Q11" s="37" t="s">
        <v>709</v>
      </c>
      <c r="R11" s="3" t="s">
        <v>4</v>
      </c>
      <c r="S11" s="3" t="s">
        <v>708</v>
      </c>
      <c r="U11" s="3" t="s">
        <v>1215</v>
      </c>
      <c r="V11" s="10" t="s">
        <v>756</v>
      </c>
    </row>
    <row r="12" spans="1:64" x14ac:dyDescent="0.35">
      <c r="A12" s="2"/>
      <c r="B12" s="3" t="s">
        <v>653</v>
      </c>
      <c r="C12" s="3" t="s">
        <v>673</v>
      </c>
      <c r="D12" s="3" t="s">
        <v>1491</v>
      </c>
      <c r="E12" s="3" t="s">
        <v>734</v>
      </c>
      <c r="F12" s="3" t="s">
        <v>31</v>
      </c>
      <c r="H12" s="32" t="s">
        <v>755</v>
      </c>
      <c r="I12" s="4">
        <v>12.4</v>
      </c>
      <c r="P12" s="6" t="s">
        <v>74</v>
      </c>
      <c r="Q12" s="26" t="s">
        <v>87</v>
      </c>
      <c r="R12" s="3" t="s">
        <v>4</v>
      </c>
      <c r="S12" s="3" t="s">
        <v>180</v>
      </c>
      <c r="U12" s="3" t="s">
        <v>1215</v>
      </c>
      <c r="V12" s="10" t="s">
        <v>754</v>
      </c>
    </row>
    <row r="13" spans="1:64" x14ac:dyDescent="0.35">
      <c r="A13" s="2"/>
      <c r="B13" s="3" t="s">
        <v>653</v>
      </c>
      <c r="C13" s="3" t="s">
        <v>673</v>
      </c>
      <c r="D13" s="3" t="s">
        <v>1491</v>
      </c>
      <c r="E13" s="3" t="s">
        <v>734</v>
      </c>
      <c r="F13" s="3" t="s">
        <v>19</v>
      </c>
      <c r="H13" s="32" t="s">
        <v>753</v>
      </c>
      <c r="I13" s="4">
        <v>5.28</v>
      </c>
      <c r="J13" s="4">
        <v>0.23699999999999999</v>
      </c>
      <c r="K13" s="32">
        <v>9</v>
      </c>
      <c r="P13" s="3" t="s">
        <v>74</v>
      </c>
      <c r="Q13" s="37" t="s">
        <v>40</v>
      </c>
      <c r="R13" s="3" t="s">
        <v>4</v>
      </c>
      <c r="S13" s="3" t="s">
        <v>752</v>
      </c>
      <c r="U13" s="3" t="s">
        <v>1215</v>
      </c>
      <c r="V13" s="10" t="s">
        <v>751</v>
      </c>
    </row>
    <row r="14" spans="1:64" x14ac:dyDescent="0.35">
      <c r="A14" s="2"/>
      <c r="B14" s="3" t="s">
        <v>653</v>
      </c>
      <c r="C14" s="3" t="s">
        <v>673</v>
      </c>
      <c r="D14" s="3" t="s">
        <v>1491</v>
      </c>
      <c r="E14" s="3" t="s">
        <v>734</v>
      </c>
      <c r="F14" s="3" t="s">
        <v>19</v>
      </c>
      <c r="I14" s="4">
        <v>8</v>
      </c>
      <c r="P14" s="6" t="s">
        <v>68</v>
      </c>
      <c r="Q14" s="26" t="s">
        <v>87</v>
      </c>
      <c r="R14" s="3" t="s">
        <v>102</v>
      </c>
      <c r="S14" s="3" t="s">
        <v>750</v>
      </c>
      <c r="U14" s="3" t="s">
        <v>13</v>
      </c>
      <c r="V14" s="10" t="s">
        <v>749</v>
      </c>
    </row>
    <row r="15" spans="1:64" x14ac:dyDescent="0.35">
      <c r="A15" s="2"/>
      <c r="B15" s="3" t="s">
        <v>653</v>
      </c>
      <c r="C15" s="3" t="s">
        <v>673</v>
      </c>
      <c r="D15" s="3" t="s">
        <v>1491</v>
      </c>
      <c r="E15" s="3" t="s">
        <v>734</v>
      </c>
      <c r="F15" s="3" t="s">
        <v>31</v>
      </c>
      <c r="G15" s="2" t="s">
        <v>1124</v>
      </c>
      <c r="H15" s="32" t="s">
        <v>748</v>
      </c>
      <c r="I15" s="5">
        <f>(3.6+6.84)/2</f>
        <v>5.22</v>
      </c>
      <c r="P15" s="6" t="s">
        <v>114</v>
      </c>
      <c r="Q15" s="26" t="s">
        <v>40</v>
      </c>
      <c r="R15" s="3" t="s">
        <v>102</v>
      </c>
      <c r="S15" s="3" t="s">
        <v>747</v>
      </c>
      <c r="T15" s="3" t="s">
        <v>236</v>
      </c>
      <c r="U15" s="3" t="s">
        <v>13</v>
      </c>
      <c r="V15" s="10" t="s">
        <v>235</v>
      </c>
    </row>
    <row r="16" spans="1:64" x14ac:dyDescent="0.35">
      <c r="A16" s="2"/>
      <c r="B16" s="3" t="s">
        <v>653</v>
      </c>
      <c r="C16" s="3" t="s">
        <v>673</v>
      </c>
      <c r="D16" s="3" t="s">
        <v>1491</v>
      </c>
      <c r="E16" s="3" t="s">
        <v>734</v>
      </c>
      <c r="F16" s="3" t="s">
        <v>31</v>
      </c>
      <c r="H16" s="32" t="s">
        <v>746</v>
      </c>
      <c r="I16" s="4">
        <v>4</v>
      </c>
      <c r="K16" s="32">
        <v>10</v>
      </c>
      <c r="P16" s="6" t="s">
        <v>52</v>
      </c>
      <c r="Q16" s="26" t="s">
        <v>77</v>
      </c>
      <c r="R16" s="3" t="s">
        <v>4</v>
      </c>
      <c r="S16" s="3" t="s">
        <v>432</v>
      </c>
      <c r="U16" s="3" t="s">
        <v>191</v>
      </c>
      <c r="V16" s="10" t="s">
        <v>431</v>
      </c>
    </row>
    <row r="17" spans="1:64" x14ac:dyDescent="0.35">
      <c r="A17" s="2"/>
      <c r="B17" s="3" t="s">
        <v>653</v>
      </c>
      <c r="C17" s="3" t="s">
        <v>673</v>
      </c>
      <c r="D17" s="3" t="s">
        <v>1491</v>
      </c>
      <c r="E17" s="3" t="s">
        <v>734</v>
      </c>
      <c r="F17" s="3" t="s">
        <v>31</v>
      </c>
      <c r="G17" s="3" t="s">
        <v>1121</v>
      </c>
      <c r="H17" s="32" t="s">
        <v>1122</v>
      </c>
      <c r="I17" s="4">
        <f>AVERAGE(7.6,6.56,5.858,5.026)</f>
        <v>6.2610000000000001</v>
      </c>
      <c r="J17" s="4">
        <f>AVERAGE(1.475, 1.75,1.539,1.8)</f>
        <v>1.641</v>
      </c>
      <c r="K17" s="32">
        <f>SUM(69,57,42,58)</f>
        <v>226</v>
      </c>
      <c r="P17" s="6" t="s">
        <v>1123</v>
      </c>
      <c r="Q17" s="26" t="s">
        <v>1118</v>
      </c>
      <c r="R17" s="3" t="s">
        <v>4</v>
      </c>
      <c r="S17" s="2" t="s">
        <v>1120</v>
      </c>
      <c r="T17" s="2" t="s">
        <v>1119</v>
      </c>
      <c r="U17" s="3" t="s">
        <v>191</v>
      </c>
      <c r="V17" s="10" t="s">
        <v>745</v>
      </c>
    </row>
    <row r="18" spans="1:64" x14ac:dyDescent="0.35">
      <c r="A18" s="2"/>
      <c r="B18" s="3" t="s">
        <v>653</v>
      </c>
      <c r="C18" s="3" t="s">
        <v>673</v>
      </c>
      <c r="D18" s="3" t="s">
        <v>1491</v>
      </c>
      <c r="E18" s="3" t="s">
        <v>734</v>
      </c>
      <c r="F18" s="3" t="s">
        <v>31</v>
      </c>
      <c r="G18" s="3" t="s">
        <v>1042</v>
      </c>
      <c r="I18" s="4">
        <v>3.2967741935483872</v>
      </c>
      <c r="K18" s="32">
        <v>9</v>
      </c>
      <c r="P18" s="6" t="s">
        <v>68</v>
      </c>
      <c r="Q18" s="26" t="s">
        <v>225</v>
      </c>
      <c r="R18" s="3" t="s">
        <v>370</v>
      </c>
      <c r="S18" s="3" t="s">
        <v>85</v>
      </c>
      <c r="U18" s="3" t="s">
        <v>85</v>
      </c>
      <c r="V18" s="10" t="s">
        <v>369</v>
      </c>
    </row>
    <row r="19" spans="1:64" x14ac:dyDescent="0.35">
      <c r="A19" s="2"/>
      <c r="B19" s="2" t="s">
        <v>653</v>
      </c>
      <c r="C19" s="2" t="s">
        <v>673</v>
      </c>
      <c r="D19" s="2" t="s">
        <v>1491</v>
      </c>
      <c r="E19" s="2" t="s">
        <v>734</v>
      </c>
      <c r="F19" s="2" t="s">
        <v>1694</v>
      </c>
      <c r="G19" s="2" t="s">
        <v>1692</v>
      </c>
      <c r="H19" s="34"/>
      <c r="I19" s="5">
        <v>5.08</v>
      </c>
      <c r="J19" s="5">
        <v>0.27</v>
      </c>
      <c r="K19" s="34">
        <v>18</v>
      </c>
      <c r="L19" s="34"/>
      <c r="M19" s="5"/>
      <c r="N19" s="5"/>
      <c r="O19" s="34"/>
      <c r="P19" s="11"/>
      <c r="Q19" s="39"/>
      <c r="R19" s="2" t="s">
        <v>480</v>
      </c>
      <c r="S19" s="2" t="s">
        <v>1689</v>
      </c>
      <c r="T19" s="2" t="s">
        <v>1690</v>
      </c>
      <c r="U19" s="2" t="s">
        <v>37</v>
      </c>
      <c r="V19" s="44" t="s">
        <v>1691</v>
      </c>
      <c r="W19" s="2"/>
    </row>
    <row r="20" spans="1:64" x14ac:dyDescent="0.35">
      <c r="A20" s="2"/>
      <c r="B20" s="2" t="s">
        <v>653</v>
      </c>
      <c r="C20" s="2" t="s">
        <v>673</v>
      </c>
      <c r="D20" s="2" t="s">
        <v>1491</v>
      </c>
      <c r="E20" s="2" t="s">
        <v>734</v>
      </c>
      <c r="F20" s="2" t="s">
        <v>1694</v>
      </c>
      <c r="G20" s="2" t="s">
        <v>1693</v>
      </c>
      <c r="H20" s="34"/>
      <c r="I20" s="5">
        <v>15.29</v>
      </c>
      <c r="J20" s="5">
        <v>0.35</v>
      </c>
      <c r="K20" s="34">
        <v>18</v>
      </c>
      <c r="L20" s="34"/>
      <c r="M20" s="5"/>
      <c r="N20" s="5"/>
      <c r="O20" s="34"/>
      <c r="P20" s="11"/>
      <c r="Q20" s="39"/>
      <c r="R20" s="2" t="s">
        <v>480</v>
      </c>
      <c r="S20" s="2" t="s">
        <v>1689</v>
      </c>
      <c r="T20" s="2" t="s">
        <v>1690</v>
      </c>
      <c r="U20" s="2" t="s">
        <v>37</v>
      </c>
      <c r="V20" s="44" t="s">
        <v>1691</v>
      </c>
      <c r="W20" s="2"/>
    </row>
    <row r="21" spans="1:64" x14ac:dyDescent="0.35">
      <c r="A21" s="2"/>
      <c r="B21" s="2" t="s">
        <v>653</v>
      </c>
      <c r="C21" s="2" t="s">
        <v>673</v>
      </c>
      <c r="D21" s="2" t="s">
        <v>1491</v>
      </c>
      <c r="E21" s="2" t="s">
        <v>734</v>
      </c>
      <c r="F21" s="2" t="s">
        <v>1483</v>
      </c>
      <c r="G21" s="2"/>
      <c r="H21" s="34"/>
      <c r="I21" s="5"/>
      <c r="J21" s="5"/>
      <c r="K21" s="34"/>
      <c r="L21" s="34"/>
      <c r="M21" s="5">
        <v>1.67</v>
      </c>
      <c r="N21" s="5"/>
      <c r="O21" s="34"/>
      <c r="P21" s="251" t="s">
        <v>1484</v>
      </c>
      <c r="Q21" s="252" t="s">
        <v>87</v>
      </c>
      <c r="R21" s="252" t="s">
        <v>502</v>
      </c>
      <c r="S21" s="251" t="s">
        <v>1485</v>
      </c>
      <c r="T21" s="251" t="s">
        <v>1486</v>
      </c>
      <c r="U21" s="251" t="s">
        <v>13</v>
      </c>
      <c r="V21" s="286" t="s">
        <v>1487</v>
      </c>
      <c r="W21" s="286"/>
      <c r="X21" s="286"/>
      <c r="Y21" s="286"/>
      <c r="Z21" s="286"/>
      <c r="AA21" s="286"/>
      <c r="AB21" s="286"/>
      <c r="AC21" s="286"/>
      <c r="AD21" s="286"/>
      <c r="AE21" s="286"/>
      <c r="AF21" s="286"/>
      <c r="AG21" s="286"/>
      <c r="AH21" s="286"/>
      <c r="AI21" s="286"/>
      <c r="AJ21" s="286"/>
      <c r="AK21" s="286"/>
      <c r="AL21" s="286"/>
      <c r="AM21" s="286"/>
      <c r="AN21" s="286"/>
      <c r="AO21" s="286"/>
      <c r="AP21" s="286"/>
    </row>
    <row r="22" spans="1:64" x14ac:dyDescent="0.35">
      <c r="A22" s="2"/>
      <c r="B22" s="2" t="s">
        <v>653</v>
      </c>
      <c r="C22" s="2" t="s">
        <v>673</v>
      </c>
      <c r="D22" s="2" t="s">
        <v>1491</v>
      </c>
      <c r="E22" s="2" t="s">
        <v>734</v>
      </c>
      <c r="F22" s="2" t="s">
        <v>31</v>
      </c>
      <c r="G22" s="2" t="s">
        <v>1704</v>
      </c>
      <c r="H22" s="34"/>
      <c r="I22" s="5">
        <v>7.2</v>
      </c>
      <c r="J22" s="5">
        <v>0.48</v>
      </c>
      <c r="K22" s="34">
        <v>74</v>
      </c>
      <c r="L22" s="34"/>
      <c r="M22" s="5">
        <v>0.9375</v>
      </c>
      <c r="N22" s="5">
        <v>4.9916597106239781E-2</v>
      </c>
      <c r="O22" s="34">
        <v>71</v>
      </c>
      <c r="P22" s="251"/>
      <c r="Q22" s="253">
        <v>5</v>
      </c>
      <c r="R22" s="252" t="s">
        <v>4</v>
      </c>
      <c r="S22" s="251" t="s">
        <v>180</v>
      </c>
      <c r="T22" s="251"/>
      <c r="U22" s="251" t="s">
        <v>1215</v>
      </c>
      <c r="V22" s="254" t="s">
        <v>1703</v>
      </c>
      <c r="W22" s="249"/>
      <c r="X22" s="249"/>
      <c r="Y22" s="249"/>
      <c r="Z22" s="249"/>
      <c r="AA22" s="249"/>
      <c r="AB22" s="249"/>
      <c r="AC22" s="249"/>
      <c r="AD22" s="249"/>
      <c r="AE22" s="249"/>
      <c r="AF22" s="249"/>
      <c r="AG22" s="249"/>
      <c r="AH22" s="249"/>
      <c r="AI22" s="249"/>
      <c r="AJ22" s="249"/>
      <c r="AK22" s="249"/>
      <c r="AL22" s="249"/>
      <c r="AM22" s="249"/>
      <c r="AN22" s="249"/>
      <c r="AO22" s="249"/>
      <c r="AP22" s="249"/>
    </row>
    <row r="23" spans="1:64" x14ac:dyDescent="0.35">
      <c r="A23" s="2"/>
      <c r="B23" s="2" t="s">
        <v>653</v>
      </c>
      <c r="C23" s="2" t="s">
        <v>673</v>
      </c>
      <c r="D23" s="2" t="s">
        <v>1491</v>
      </c>
      <c r="E23" s="2" t="s">
        <v>734</v>
      </c>
      <c r="F23" s="2" t="s">
        <v>31</v>
      </c>
      <c r="G23" s="2" t="s">
        <v>1704</v>
      </c>
      <c r="H23" s="34"/>
      <c r="I23" s="5">
        <v>5.4</v>
      </c>
      <c r="J23" s="5">
        <v>0.36</v>
      </c>
      <c r="K23" s="34">
        <v>61</v>
      </c>
      <c r="L23" s="34"/>
      <c r="M23" s="5">
        <v>0.91500000000000004</v>
      </c>
      <c r="N23" s="5">
        <v>5.8022983951764036E-2</v>
      </c>
      <c r="O23" s="34">
        <v>49</v>
      </c>
      <c r="P23" s="251"/>
      <c r="Q23" s="253">
        <v>10</v>
      </c>
      <c r="R23" s="252" t="s">
        <v>4</v>
      </c>
      <c r="S23" s="251" t="s">
        <v>180</v>
      </c>
      <c r="T23" s="251"/>
      <c r="U23" s="251" t="s">
        <v>1215</v>
      </c>
      <c r="V23" s="254" t="s">
        <v>1703</v>
      </c>
      <c r="W23" s="249"/>
      <c r="X23" s="249"/>
      <c r="Y23" s="249"/>
      <c r="Z23" s="249"/>
      <c r="AA23" s="249"/>
      <c r="AB23" s="249"/>
      <c r="AC23" s="249"/>
      <c r="AD23" s="249"/>
      <c r="AE23" s="249"/>
      <c r="AF23" s="249"/>
      <c r="AG23" s="249"/>
      <c r="AH23" s="249"/>
      <c r="AI23" s="249"/>
      <c r="AJ23" s="249"/>
      <c r="AK23" s="249"/>
      <c r="AL23" s="249"/>
      <c r="AM23" s="249"/>
      <c r="AN23" s="249"/>
      <c r="AO23" s="249"/>
      <c r="AP23" s="249"/>
    </row>
    <row r="24" spans="1:64" x14ac:dyDescent="0.35">
      <c r="A24" s="2"/>
      <c r="B24" s="2" t="s">
        <v>653</v>
      </c>
      <c r="C24" s="2" t="s">
        <v>673</v>
      </c>
      <c r="D24" s="2" t="s">
        <v>1491</v>
      </c>
      <c r="E24" s="2" t="s">
        <v>734</v>
      </c>
      <c r="F24" s="2" t="s">
        <v>31</v>
      </c>
      <c r="G24" s="2" t="s">
        <v>1704</v>
      </c>
      <c r="H24" s="34"/>
      <c r="I24" s="5">
        <v>5.76</v>
      </c>
      <c r="J24" s="5">
        <v>0.48</v>
      </c>
      <c r="K24" s="34">
        <v>79</v>
      </c>
      <c r="L24" s="34"/>
      <c r="M24" s="5">
        <v>0.90249999999999997</v>
      </c>
      <c r="N24" s="5">
        <v>6.5510813356778483E-2</v>
      </c>
      <c r="O24" s="34">
        <v>59</v>
      </c>
      <c r="P24" s="251"/>
      <c r="Q24" s="253">
        <v>15</v>
      </c>
      <c r="R24" s="252" t="s">
        <v>4</v>
      </c>
      <c r="S24" s="251" t="s">
        <v>180</v>
      </c>
      <c r="T24" s="251"/>
      <c r="U24" s="251" t="s">
        <v>1215</v>
      </c>
      <c r="V24" s="254" t="s">
        <v>1703</v>
      </c>
      <c r="W24" s="249"/>
      <c r="X24" s="249"/>
      <c r="Y24" s="249"/>
      <c r="Z24" s="249"/>
      <c r="AA24" s="249"/>
      <c r="AB24" s="249"/>
      <c r="AC24" s="249"/>
      <c r="AD24" s="249"/>
      <c r="AE24" s="249"/>
      <c r="AF24" s="249"/>
      <c r="AG24" s="249"/>
      <c r="AH24" s="249"/>
      <c r="AI24" s="249"/>
      <c r="AJ24" s="249"/>
      <c r="AK24" s="249"/>
      <c r="AL24" s="249"/>
      <c r="AM24" s="249"/>
      <c r="AN24" s="249"/>
      <c r="AO24" s="249"/>
      <c r="AP24" s="249"/>
    </row>
    <row r="25" spans="1:64" x14ac:dyDescent="0.35">
      <c r="A25" s="2"/>
      <c r="B25" s="2" t="s">
        <v>653</v>
      </c>
      <c r="C25" s="2" t="s">
        <v>673</v>
      </c>
      <c r="D25" s="2" t="s">
        <v>1491</v>
      </c>
      <c r="E25" s="2" t="s">
        <v>734</v>
      </c>
      <c r="F25" s="2" t="s">
        <v>31</v>
      </c>
      <c r="G25" s="2" t="s">
        <v>1711</v>
      </c>
      <c r="H25" s="34"/>
      <c r="I25" s="5">
        <f>AVERAGE(7.93,10.8)</f>
        <v>9.3650000000000002</v>
      </c>
      <c r="J25" s="5">
        <v>0.28999999999999998</v>
      </c>
      <c r="K25" s="34"/>
      <c r="L25" s="34"/>
      <c r="M25" s="5">
        <f>AVERAGE(0.89,0.87)</f>
        <v>0.88</v>
      </c>
      <c r="N25" s="5">
        <v>0.02</v>
      </c>
      <c r="O25" s="34"/>
      <c r="P25" s="251"/>
      <c r="Q25" s="253"/>
      <c r="R25" s="252" t="s">
        <v>4</v>
      </c>
      <c r="S25" s="251" t="s">
        <v>1248</v>
      </c>
      <c r="T25" s="251"/>
      <c r="U25" s="251" t="s">
        <v>1215</v>
      </c>
      <c r="V25" s="254" t="s">
        <v>1712</v>
      </c>
      <c r="W25" s="249"/>
      <c r="X25" s="249"/>
      <c r="Y25" s="249"/>
      <c r="Z25" s="249"/>
      <c r="AA25" s="249"/>
      <c r="AB25" s="249"/>
      <c r="AC25" s="249"/>
      <c r="AD25" s="249"/>
      <c r="AE25" s="249"/>
      <c r="AF25" s="249"/>
      <c r="AG25" s="249"/>
      <c r="AH25" s="249"/>
      <c r="AI25" s="249"/>
      <c r="AJ25" s="249"/>
      <c r="AK25" s="249"/>
      <c r="AL25" s="249"/>
      <c r="AM25" s="249"/>
      <c r="AN25" s="249"/>
      <c r="AO25" s="249"/>
      <c r="AP25" s="249"/>
    </row>
    <row r="26" spans="1:64" x14ac:dyDescent="0.35">
      <c r="A26" s="2"/>
      <c r="B26" s="2" t="s">
        <v>653</v>
      </c>
      <c r="C26" s="2" t="s">
        <v>673</v>
      </c>
      <c r="D26" s="2" t="s">
        <v>1491</v>
      </c>
      <c r="E26" s="2" t="s">
        <v>734</v>
      </c>
      <c r="F26" s="2" t="s">
        <v>31</v>
      </c>
      <c r="G26" s="2" t="s">
        <v>1711</v>
      </c>
      <c r="H26" s="34"/>
      <c r="I26" s="5">
        <f>AVERAGE(7.34,7.93)</f>
        <v>7.6349999999999998</v>
      </c>
      <c r="J26" s="5">
        <v>0.24</v>
      </c>
      <c r="K26" s="34"/>
      <c r="L26" s="34"/>
      <c r="M26" s="5">
        <f>AVERAGE(0.95,0.89)</f>
        <v>0.91999999999999993</v>
      </c>
      <c r="N26" s="5">
        <v>0.05</v>
      </c>
      <c r="O26" s="34"/>
      <c r="P26" s="251"/>
      <c r="Q26" s="253"/>
      <c r="R26" s="252" t="s">
        <v>4</v>
      </c>
      <c r="S26" s="251" t="s">
        <v>180</v>
      </c>
      <c r="T26" s="251"/>
      <c r="U26" s="251" t="s">
        <v>1215</v>
      </c>
      <c r="V26" s="254" t="s">
        <v>1712</v>
      </c>
      <c r="W26" s="249"/>
      <c r="X26" s="249"/>
      <c r="Y26" s="249"/>
      <c r="Z26" s="249"/>
      <c r="AA26" s="249"/>
      <c r="AB26" s="249"/>
      <c r="AC26" s="249"/>
      <c r="AD26" s="249"/>
      <c r="AE26" s="249"/>
      <c r="AF26" s="249"/>
      <c r="AG26" s="249"/>
      <c r="AH26" s="249"/>
      <c r="AI26" s="249"/>
      <c r="AJ26" s="249"/>
      <c r="AK26" s="249"/>
      <c r="AL26" s="249"/>
      <c r="AM26" s="249"/>
      <c r="AN26" s="249"/>
      <c r="AO26" s="249"/>
      <c r="AP26" s="249"/>
    </row>
    <row r="27" spans="1:64" x14ac:dyDescent="0.35">
      <c r="A27" s="2"/>
      <c r="B27" s="2" t="s">
        <v>653</v>
      </c>
      <c r="C27" s="2" t="s">
        <v>673</v>
      </c>
      <c r="D27" s="2" t="s">
        <v>1491</v>
      </c>
      <c r="E27" s="2" t="s">
        <v>734</v>
      </c>
      <c r="F27" s="2" t="s">
        <v>31</v>
      </c>
      <c r="G27" s="2" t="s">
        <v>1711</v>
      </c>
      <c r="H27" s="34"/>
      <c r="I27" s="5">
        <f>AVERAGE(4.78,5.17)</f>
        <v>4.9749999999999996</v>
      </c>
      <c r="J27" s="5">
        <v>0.21</v>
      </c>
      <c r="K27" s="34"/>
      <c r="L27" s="34"/>
      <c r="M27" s="5">
        <f>AVERAGE(0.82,0.88)</f>
        <v>0.85</v>
      </c>
      <c r="N27" s="5">
        <v>0.04</v>
      </c>
      <c r="O27" s="34"/>
      <c r="P27" s="251"/>
      <c r="Q27" s="253"/>
      <c r="R27" s="252" t="s">
        <v>4</v>
      </c>
      <c r="S27" s="251" t="s">
        <v>483</v>
      </c>
      <c r="T27" s="251"/>
      <c r="U27" s="251" t="s">
        <v>1215</v>
      </c>
      <c r="V27" s="254" t="s">
        <v>1712</v>
      </c>
      <c r="W27" s="249"/>
      <c r="X27" s="249"/>
      <c r="Y27" s="249"/>
      <c r="Z27" s="249"/>
      <c r="AA27" s="249"/>
      <c r="AB27" s="249"/>
      <c r="AC27" s="249"/>
      <c r="AD27" s="249"/>
      <c r="AE27" s="249"/>
      <c r="AF27" s="249"/>
      <c r="AG27" s="249"/>
      <c r="AH27" s="249"/>
      <c r="AI27" s="249"/>
      <c r="AJ27" s="249"/>
      <c r="AK27" s="249"/>
      <c r="AL27" s="249"/>
      <c r="AM27" s="249"/>
      <c r="AN27" s="249"/>
      <c r="AO27" s="249"/>
      <c r="AP27" s="249"/>
    </row>
    <row r="28" spans="1:64" x14ac:dyDescent="0.35">
      <c r="A28" s="2"/>
      <c r="B28" s="2" t="s">
        <v>653</v>
      </c>
      <c r="C28" s="2" t="s">
        <v>673</v>
      </c>
      <c r="D28" s="2" t="s">
        <v>1072</v>
      </c>
      <c r="E28" s="2" t="s">
        <v>734</v>
      </c>
      <c r="F28" s="2" t="s">
        <v>744</v>
      </c>
      <c r="G28" s="2"/>
      <c r="H28" s="34"/>
      <c r="I28" s="5"/>
      <c r="J28" s="5"/>
      <c r="K28" s="34"/>
      <c r="L28" s="34" t="s">
        <v>743</v>
      </c>
      <c r="M28" s="5">
        <v>0.88</v>
      </c>
      <c r="N28" s="5">
        <v>0.106</v>
      </c>
      <c r="O28" s="34">
        <v>5</v>
      </c>
      <c r="P28" s="2" t="s">
        <v>68</v>
      </c>
      <c r="Q28" s="39" t="s">
        <v>742</v>
      </c>
      <c r="R28" s="2" t="s">
        <v>4</v>
      </c>
      <c r="S28" s="2" t="s">
        <v>741</v>
      </c>
      <c r="T28" s="2" t="s">
        <v>740</v>
      </c>
      <c r="U28" s="2" t="s">
        <v>1215</v>
      </c>
      <c r="V28" s="44" t="s">
        <v>739</v>
      </c>
      <c r="W28" s="2"/>
    </row>
    <row r="29" spans="1:64" x14ac:dyDescent="0.35">
      <c r="A29" s="2"/>
      <c r="B29" s="2" t="s">
        <v>653</v>
      </c>
      <c r="C29" s="2" t="s">
        <v>673</v>
      </c>
      <c r="D29" s="2" t="s">
        <v>1072</v>
      </c>
      <c r="E29" s="2" t="s">
        <v>734</v>
      </c>
      <c r="F29" s="2" t="s">
        <v>407</v>
      </c>
      <c r="G29" s="2"/>
      <c r="H29" s="34"/>
      <c r="I29" s="5"/>
      <c r="J29" s="5"/>
      <c r="K29" s="34"/>
      <c r="L29" s="34"/>
      <c r="M29" s="5">
        <v>1.9</v>
      </c>
      <c r="N29" s="5">
        <v>0.02</v>
      </c>
      <c r="O29" s="34">
        <v>3</v>
      </c>
      <c r="P29" s="2" t="s">
        <v>710</v>
      </c>
      <c r="Q29" s="42" t="s">
        <v>709</v>
      </c>
      <c r="R29" s="2" t="s">
        <v>4</v>
      </c>
      <c r="S29" s="2" t="s">
        <v>708</v>
      </c>
      <c r="T29" s="2"/>
      <c r="U29" s="2" t="s">
        <v>1215</v>
      </c>
      <c r="V29" s="44" t="s">
        <v>681</v>
      </c>
      <c r="W29" s="2"/>
    </row>
    <row r="30" spans="1:64" x14ac:dyDescent="0.35">
      <c r="A30" s="2"/>
      <c r="B30" s="3" t="s">
        <v>653</v>
      </c>
      <c r="C30" s="3" t="s">
        <v>673</v>
      </c>
      <c r="D30" s="3" t="s">
        <v>1072</v>
      </c>
      <c r="E30" s="3" t="s">
        <v>734</v>
      </c>
      <c r="F30" s="3" t="s">
        <v>19</v>
      </c>
      <c r="H30" s="32" t="s">
        <v>738</v>
      </c>
      <c r="I30" s="4">
        <v>16.079999999999998</v>
      </c>
      <c r="J30" s="4">
        <v>1.51</v>
      </c>
      <c r="K30" s="32">
        <v>20</v>
      </c>
      <c r="P30" s="6" t="s">
        <v>17</v>
      </c>
      <c r="Q30" s="26" t="s">
        <v>133</v>
      </c>
      <c r="R30" s="3" t="s">
        <v>293</v>
      </c>
      <c r="S30" s="3" t="s">
        <v>737</v>
      </c>
      <c r="U30" s="3" t="s">
        <v>13</v>
      </c>
      <c r="V30" s="10" t="s">
        <v>736</v>
      </c>
    </row>
    <row r="31" spans="1:64" s="2" customFormat="1" ht="14" x14ac:dyDescent="0.3">
      <c r="B31" s="3" t="s">
        <v>653</v>
      </c>
      <c r="C31" s="3" t="s">
        <v>673</v>
      </c>
      <c r="D31" s="3" t="s">
        <v>677</v>
      </c>
      <c r="E31" s="59" t="s">
        <v>734</v>
      </c>
      <c r="F31" s="3" t="s">
        <v>19</v>
      </c>
      <c r="G31" s="3" t="s">
        <v>1040</v>
      </c>
      <c r="H31" s="32" t="s">
        <v>676</v>
      </c>
      <c r="I31" s="4">
        <v>22.3</v>
      </c>
      <c r="J31" s="4">
        <v>1.4499999999999997</v>
      </c>
      <c r="K31" s="32">
        <v>6</v>
      </c>
      <c r="L31" s="32"/>
      <c r="M31" s="4"/>
      <c r="N31" s="4"/>
      <c r="O31" s="32"/>
      <c r="P31" s="3" t="s">
        <v>74</v>
      </c>
      <c r="Q31" s="26" t="s">
        <v>233</v>
      </c>
      <c r="R31" s="3" t="s">
        <v>112</v>
      </c>
      <c r="S31" s="3" t="s">
        <v>541</v>
      </c>
      <c r="T31" s="3" t="s">
        <v>100</v>
      </c>
      <c r="U31" s="3" t="s">
        <v>13</v>
      </c>
      <c r="V31" s="10" t="s">
        <v>230</v>
      </c>
      <c r="W31" s="3"/>
    </row>
    <row r="32" spans="1:64" s="12" customFormat="1" x14ac:dyDescent="0.35">
      <c r="A32" s="7" t="s">
        <v>858</v>
      </c>
      <c r="B32" s="7"/>
      <c r="C32" s="7" t="s">
        <v>673</v>
      </c>
      <c r="D32" s="7"/>
      <c r="E32" s="7" t="s">
        <v>734</v>
      </c>
      <c r="F32" s="7"/>
      <c r="G32" s="7"/>
      <c r="H32" s="33"/>
      <c r="I32" s="8">
        <f>AVERAGE(I5:I31)</f>
        <v>8.508381486676015</v>
      </c>
      <c r="J32" s="8">
        <f>STDEV(I5:I31)/SQRT(COUNT(I5:I31))</f>
        <v>0.96197217040698668</v>
      </c>
      <c r="K32" s="33"/>
      <c r="L32" s="33"/>
      <c r="M32" s="8">
        <f>AVERAGE(M5:M31)</f>
        <v>1.1526923076923077</v>
      </c>
      <c r="N32" s="8">
        <f>STDEV(M5:M31)/SQRT(COUNT(M5:M31))</f>
        <v>0.10005265502284426</v>
      </c>
      <c r="O32" s="33"/>
      <c r="P32" s="7"/>
      <c r="Q32" s="38"/>
      <c r="R32" s="7"/>
      <c r="S32" s="7"/>
      <c r="T32" s="7"/>
      <c r="U32" s="7"/>
      <c r="V32" s="13"/>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x14ac:dyDescent="0.35">
      <c r="A33" s="2"/>
      <c r="B33" s="2" t="s">
        <v>653</v>
      </c>
      <c r="C33" s="2" t="s">
        <v>673</v>
      </c>
      <c r="D33" s="2" t="s">
        <v>731</v>
      </c>
      <c r="E33" s="2" t="s">
        <v>1723</v>
      </c>
      <c r="F33" s="2" t="s">
        <v>19</v>
      </c>
      <c r="G33" s="2" t="s">
        <v>285</v>
      </c>
      <c r="H33" s="34" t="s">
        <v>730</v>
      </c>
      <c r="I33" s="5">
        <v>4.1500000000000004</v>
      </c>
      <c r="J33" s="5">
        <v>0.26900000000000002</v>
      </c>
      <c r="K33" s="34">
        <v>42</v>
      </c>
      <c r="L33" s="34"/>
      <c r="M33" s="5"/>
      <c r="N33" s="5"/>
      <c r="O33" s="34"/>
      <c r="P33" s="2" t="s">
        <v>283</v>
      </c>
      <c r="Q33" s="39" t="s">
        <v>282</v>
      </c>
      <c r="R33" s="2" t="s">
        <v>26</v>
      </c>
      <c r="S33" s="2" t="s">
        <v>281</v>
      </c>
      <c r="T33" s="2"/>
      <c r="U33" s="2" t="s">
        <v>24</v>
      </c>
      <c r="V33" s="44" t="s">
        <v>280</v>
      </c>
      <c r="W33" s="2"/>
    </row>
    <row r="34" spans="1:64" x14ac:dyDescent="0.35">
      <c r="A34" s="2"/>
      <c r="B34" s="3" t="s">
        <v>653</v>
      </c>
      <c r="C34" s="3" t="s">
        <v>673</v>
      </c>
      <c r="D34" s="3" t="s">
        <v>729</v>
      </c>
      <c r="E34" s="2" t="s">
        <v>1723</v>
      </c>
      <c r="F34" s="3" t="s">
        <v>407</v>
      </c>
      <c r="G34" s="2"/>
      <c r="M34" s="4">
        <v>0.86</v>
      </c>
      <c r="N34" s="4">
        <v>0.1</v>
      </c>
      <c r="O34" s="32">
        <v>3</v>
      </c>
      <c r="P34" s="3" t="s">
        <v>710</v>
      </c>
      <c r="Q34" s="37" t="s">
        <v>709</v>
      </c>
      <c r="R34" s="3" t="s">
        <v>4</v>
      </c>
      <c r="S34" s="3" t="s">
        <v>708</v>
      </c>
      <c r="U34" s="3" t="s">
        <v>1215</v>
      </c>
      <c r="V34" s="10" t="s">
        <v>728</v>
      </c>
    </row>
    <row r="35" spans="1:64" x14ac:dyDescent="0.35">
      <c r="A35" s="2"/>
      <c r="B35" s="3" t="s">
        <v>653</v>
      </c>
      <c r="C35" s="3" t="s">
        <v>673</v>
      </c>
      <c r="D35" s="3" t="s">
        <v>726</v>
      </c>
      <c r="E35" s="2" t="s">
        <v>1723</v>
      </c>
      <c r="F35" s="3" t="s">
        <v>31</v>
      </c>
      <c r="G35" s="2" t="s">
        <v>54</v>
      </c>
      <c r="I35" s="4">
        <v>4.9400000000000004</v>
      </c>
      <c r="J35" s="4">
        <v>0.70099999999999996</v>
      </c>
      <c r="K35" s="32">
        <v>10</v>
      </c>
      <c r="P35" s="3" t="s">
        <v>347</v>
      </c>
      <c r="Q35" s="26" t="s">
        <v>40</v>
      </c>
      <c r="R35" s="3" t="s">
        <v>4</v>
      </c>
      <c r="S35" s="3" t="s">
        <v>354</v>
      </c>
      <c r="T35" s="3" t="s">
        <v>353</v>
      </c>
      <c r="U35" s="3" t="s">
        <v>1</v>
      </c>
      <c r="V35" s="10" t="s">
        <v>352</v>
      </c>
    </row>
    <row r="36" spans="1:64" x14ac:dyDescent="0.35">
      <c r="A36" s="2"/>
      <c r="B36" s="3" t="s">
        <v>653</v>
      </c>
      <c r="C36" s="3" t="s">
        <v>673</v>
      </c>
      <c r="D36" s="3" t="s">
        <v>726</v>
      </c>
      <c r="E36" s="2" t="s">
        <v>1723</v>
      </c>
      <c r="F36" s="3" t="s">
        <v>31</v>
      </c>
      <c r="G36" s="2"/>
      <c r="I36" s="4">
        <v>3.351</v>
      </c>
      <c r="J36" s="4">
        <v>0.18099999999999999</v>
      </c>
      <c r="K36" s="32">
        <v>9</v>
      </c>
      <c r="P36" s="6" t="s">
        <v>347</v>
      </c>
      <c r="Q36" s="26" t="s">
        <v>40</v>
      </c>
      <c r="R36" s="3" t="s">
        <v>4</v>
      </c>
      <c r="S36" s="3" t="s">
        <v>346</v>
      </c>
      <c r="T36" s="3" t="s">
        <v>345</v>
      </c>
      <c r="U36" s="3" t="s">
        <v>1</v>
      </c>
      <c r="V36" s="10" t="s">
        <v>344</v>
      </c>
    </row>
    <row r="37" spans="1:64" x14ac:dyDescent="0.35">
      <c r="A37" s="2"/>
      <c r="B37" s="3" t="s">
        <v>653</v>
      </c>
      <c r="C37" s="3" t="s">
        <v>673</v>
      </c>
      <c r="D37" s="3" t="s">
        <v>726</v>
      </c>
      <c r="E37" s="2" t="s">
        <v>1723</v>
      </c>
      <c r="F37" s="3" t="s">
        <v>31</v>
      </c>
      <c r="I37" s="4">
        <v>6.93</v>
      </c>
      <c r="K37" s="32">
        <v>3</v>
      </c>
      <c r="P37" s="6" t="s">
        <v>74</v>
      </c>
      <c r="Q37" s="26" t="s">
        <v>103</v>
      </c>
      <c r="R37" s="3" t="s">
        <v>4</v>
      </c>
      <c r="S37" s="3" t="s">
        <v>429</v>
      </c>
      <c r="U37" s="3" t="s">
        <v>191</v>
      </c>
      <c r="V37" s="10" t="s">
        <v>725</v>
      </c>
    </row>
    <row r="38" spans="1:64" s="2" customFormat="1" ht="14" x14ac:dyDescent="0.3">
      <c r="B38" s="3" t="s">
        <v>653</v>
      </c>
      <c r="C38" s="3" t="s">
        <v>673</v>
      </c>
      <c r="D38" s="3" t="s">
        <v>807</v>
      </c>
      <c r="E38" s="2" t="s">
        <v>1723</v>
      </c>
      <c r="F38" s="3" t="s">
        <v>1046</v>
      </c>
      <c r="G38" s="3"/>
      <c r="H38" s="32" t="s">
        <v>674</v>
      </c>
      <c r="I38" s="4">
        <v>5.77</v>
      </c>
      <c r="J38" s="4">
        <v>2.4</v>
      </c>
      <c r="K38" s="32">
        <v>18</v>
      </c>
      <c r="L38" s="32"/>
      <c r="M38" s="4">
        <v>1.57</v>
      </c>
      <c r="N38" s="4">
        <v>0.34</v>
      </c>
      <c r="O38" s="32">
        <v>9</v>
      </c>
      <c r="P38" s="3" t="s">
        <v>120</v>
      </c>
      <c r="Q38" s="26" t="s">
        <v>639</v>
      </c>
      <c r="R38" s="3" t="s">
        <v>15</v>
      </c>
      <c r="S38" s="3" t="s">
        <v>118</v>
      </c>
      <c r="T38" s="3"/>
      <c r="U38" s="3" t="s">
        <v>13</v>
      </c>
      <c r="V38" s="10" t="s">
        <v>117</v>
      </c>
      <c r="W38" s="3"/>
    </row>
    <row r="39" spans="1:64" s="12" customFormat="1" x14ac:dyDescent="0.35">
      <c r="A39" s="7" t="s">
        <v>859</v>
      </c>
      <c r="B39" s="7"/>
      <c r="C39" s="7" t="s">
        <v>673</v>
      </c>
      <c r="D39" s="7"/>
      <c r="E39" s="7" t="s">
        <v>1723</v>
      </c>
      <c r="F39" s="7"/>
      <c r="G39" s="7"/>
      <c r="H39" s="33"/>
      <c r="I39" s="8">
        <f>AVERAGE(I33:I38)</f>
        <v>5.0282</v>
      </c>
      <c r="J39" s="8">
        <f>STDEV(I33:I38)/SQRT(COUNT(I33:I38))</f>
        <v>0.62286133288236889</v>
      </c>
      <c r="K39" s="33"/>
      <c r="L39" s="33"/>
      <c r="M39" s="8">
        <f>AVERAGE(M33:M38)</f>
        <v>1.2150000000000001</v>
      </c>
      <c r="N39" s="8">
        <f>STDEV(M33:M38)/SQRT(COUNT(M33:M38))</f>
        <v>0.3549999999999997</v>
      </c>
      <c r="O39" s="33"/>
      <c r="P39" s="14"/>
      <c r="Q39" s="38"/>
      <c r="R39" s="7"/>
      <c r="S39" s="7"/>
      <c r="T39" s="7"/>
      <c r="U39" s="7"/>
      <c r="V39" s="13"/>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4" x14ac:dyDescent="0.35">
      <c r="A40" s="2"/>
      <c r="B40" s="2" t="s">
        <v>653</v>
      </c>
      <c r="C40" s="2" t="s">
        <v>673</v>
      </c>
      <c r="D40" s="2" t="s">
        <v>535</v>
      </c>
      <c r="E40" s="2" t="s">
        <v>716</v>
      </c>
      <c r="F40" s="2" t="s">
        <v>715</v>
      </c>
      <c r="G40" s="2"/>
      <c r="H40" s="34" t="s">
        <v>714</v>
      </c>
      <c r="I40" s="5">
        <v>4.3499999999999996</v>
      </c>
      <c r="J40" s="5"/>
      <c r="K40" s="34">
        <v>2</v>
      </c>
      <c r="L40" s="34"/>
      <c r="M40" s="5"/>
      <c r="N40" s="5"/>
      <c r="O40" s="34"/>
      <c r="P40" s="2" t="s">
        <v>88</v>
      </c>
      <c r="Q40" s="42" t="s">
        <v>27</v>
      </c>
      <c r="R40" s="2" t="s">
        <v>713</v>
      </c>
      <c r="S40" s="2" t="s">
        <v>712</v>
      </c>
      <c r="T40" s="2"/>
      <c r="U40" s="2" t="s">
        <v>24</v>
      </c>
      <c r="V40" s="44" t="s">
        <v>711</v>
      </c>
      <c r="W40" s="2"/>
    </row>
    <row r="41" spans="1:64" x14ac:dyDescent="0.35">
      <c r="A41" s="2"/>
      <c r="B41" s="2" t="s">
        <v>653</v>
      </c>
      <c r="C41" s="2" t="s">
        <v>673</v>
      </c>
      <c r="D41" s="2" t="s">
        <v>535</v>
      </c>
      <c r="E41" s="2" t="s">
        <v>716</v>
      </c>
      <c r="F41" s="2" t="s">
        <v>407</v>
      </c>
      <c r="G41" s="2"/>
      <c r="H41" s="34"/>
      <c r="I41" s="5"/>
      <c r="J41" s="5"/>
      <c r="K41" s="34"/>
      <c r="L41" s="34"/>
      <c r="M41" s="5">
        <v>1.1499999999999999</v>
      </c>
      <c r="N41" s="5">
        <v>1.1547005383792526E-2</v>
      </c>
      <c r="O41" s="34" t="s">
        <v>1030</v>
      </c>
      <c r="P41" s="2" t="s">
        <v>710</v>
      </c>
      <c r="Q41" s="42" t="s">
        <v>709</v>
      </c>
      <c r="R41" s="2" t="s">
        <v>4</v>
      </c>
      <c r="S41" s="2" t="s">
        <v>708</v>
      </c>
      <c r="T41" s="2"/>
      <c r="U41" s="2" t="s">
        <v>1215</v>
      </c>
      <c r="V41" s="44" t="s">
        <v>681</v>
      </c>
      <c r="W41" s="2"/>
    </row>
    <row r="42" spans="1:64" x14ac:dyDescent="0.35">
      <c r="A42" s="2"/>
      <c r="B42" s="2" t="s">
        <v>653</v>
      </c>
      <c r="C42" s="2" t="s">
        <v>673</v>
      </c>
      <c r="D42" s="2" t="s">
        <v>535</v>
      </c>
      <c r="E42" s="2" t="s">
        <v>716</v>
      </c>
      <c r="F42" s="2" t="s">
        <v>31</v>
      </c>
      <c r="G42" s="2"/>
      <c r="H42" s="34"/>
      <c r="I42" s="5">
        <v>4.5599999999999996</v>
      </c>
      <c r="J42" s="5">
        <v>0.48399999999999999</v>
      </c>
      <c r="K42" s="34">
        <v>200</v>
      </c>
      <c r="L42" s="34"/>
      <c r="M42" s="5"/>
      <c r="N42" s="5"/>
      <c r="O42" s="34"/>
      <c r="P42" s="2" t="s">
        <v>707</v>
      </c>
      <c r="Q42" s="39" t="s">
        <v>103</v>
      </c>
      <c r="R42" s="2" t="s">
        <v>112</v>
      </c>
      <c r="S42" s="2" t="s">
        <v>706</v>
      </c>
      <c r="T42" s="2" t="s">
        <v>705</v>
      </c>
      <c r="U42" s="2" t="s">
        <v>13</v>
      </c>
      <c r="V42" s="44" t="s">
        <v>704</v>
      </c>
      <c r="W42" s="2"/>
    </row>
    <row r="43" spans="1:64" x14ac:dyDescent="0.35">
      <c r="A43" s="2"/>
      <c r="B43" s="2" t="s">
        <v>653</v>
      </c>
      <c r="C43" s="2" t="s">
        <v>673</v>
      </c>
      <c r="D43" s="2" t="s">
        <v>535</v>
      </c>
      <c r="E43" s="2" t="s">
        <v>716</v>
      </c>
      <c r="F43" s="2" t="s">
        <v>1483</v>
      </c>
      <c r="G43" s="2"/>
      <c r="H43" s="34"/>
      <c r="I43" s="5"/>
      <c r="J43" s="5"/>
      <c r="K43" s="34"/>
      <c r="L43" s="34"/>
      <c r="M43" s="5">
        <v>1.57</v>
      </c>
      <c r="N43" s="5"/>
      <c r="O43" s="34"/>
      <c r="P43" s="251" t="s">
        <v>1484</v>
      </c>
      <c r="Q43" s="252" t="s">
        <v>87</v>
      </c>
      <c r="R43" s="252" t="s">
        <v>502</v>
      </c>
      <c r="S43" s="251" t="s">
        <v>1485</v>
      </c>
      <c r="T43" s="251" t="s">
        <v>1486</v>
      </c>
      <c r="U43" s="251" t="s">
        <v>13</v>
      </c>
      <c r="V43" s="286" t="s">
        <v>1487</v>
      </c>
      <c r="W43" s="286"/>
      <c r="X43" s="286"/>
      <c r="Y43" s="286"/>
      <c r="Z43" s="286"/>
      <c r="AA43" s="286"/>
      <c r="AB43" s="286"/>
      <c r="AC43" s="286"/>
      <c r="AD43" s="286"/>
      <c r="AE43" s="286"/>
      <c r="AF43" s="286"/>
      <c r="AG43" s="286"/>
      <c r="AH43" s="286"/>
      <c r="AI43" s="286"/>
      <c r="AJ43" s="286"/>
      <c r="AK43" s="286"/>
      <c r="AL43" s="286"/>
      <c r="AM43" s="286"/>
      <c r="AN43" s="286"/>
      <c r="AO43" s="286"/>
      <c r="AP43" s="286"/>
    </row>
    <row r="44" spans="1:64" s="2" customFormat="1" ht="14" x14ac:dyDescent="0.3">
      <c r="B44" s="2" t="s">
        <v>653</v>
      </c>
      <c r="C44" s="2" t="s">
        <v>673</v>
      </c>
      <c r="D44" s="2" t="s">
        <v>724</v>
      </c>
      <c r="E44" s="2" t="s">
        <v>716</v>
      </c>
      <c r="F44" s="2" t="s">
        <v>1034</v>
      </c>
      <c r="G44" s="2" t="s">
        <v>1036</v>
      </c>
      <c r="H44" s="34"/>
      <c r="I44" s="5">
        <f>4.29/2</f>
        <v>2.145</v>
      </c>
      <c r="J44" s="5">
        <f>1.0278699658355/2</f>
        <v>0.51393498291774997</v>
      </c>
      <c r="K44" s="34">
        <v>68</v>
      </c>
      <c r="L44" s="34"/>
      <c r="M44" s="5"/>
      <c r="N44" s="5"/>
      <c r="O44" s="34"/>
      <c r="P44" s="2" t="s">
        <v>88</v>
      </c>
      <c r="Q44" s="39" t="s">
        <v>77</v>
      </c>
      <c r="R44" s="2" t="s">
        <v>66</v>
      </c>
      <c r="S44" s="2" t="s">
        <v>396</v>
      </c>
      <c r="U44" s="2" t="s">
        <v>37</v>
      </c>
      <c r="V44" s="44" t="s">
        <v>395</v>
      </c>
    </row>
    <row r="45" spans="1:64" s="2" customFormat="1" ht="14" x14ac:dyDescent="0.3">
      <c r="B45" s="2" t="s">
        <v>653</v>
      </c>
      <c r="C45" s="2" t="s">
        <v>673</v>
      </c>
      <c r="D45" s="2" t="s">
        <v>720</v>
      </c>
      <c r="E45" s="2" t="s">
        <v>716</v>
      </c>
      <c r="F45" s="2" t="s">
        <v>19</v>
      </c>
      <c r="G45" s="2" t="s">
        <v>1049</v>
      </c>
      <c r="H45" s="34"/>
      <c r="I45" s="5">
        <v>1.0657999999999999</v>
      </c>
      <c r="J45" s="5">
        <v>0.43800000000000039</v>
      </c>
      <c r="K45" s="34">
        <v>8</v>
      </c>
      <c r="L45" s="34"/>
      <c r="M45" s="5"/>
      <c r="N45" s="5"/>
      <c r="O45" s="34"/>
      <c r="P45" s="2" t="s">
        <v>1051</v>
      </c>
      <c r="Q45" s="39" t="s">
        <v>1050</v>
      </c>
      <c r="R45" s="2" t="s">
        <v>382</v>
      </c>
      <c r="S45" s="2" t="s">
        <v>721</v>
      </c>
      <c r="T45" s="2" t="s">
        <v>68</v>
      </c>
      <c r="U45" s="2" t="s">
        <v>126</v>
      </c>
      <c r="V45" s="44" t="s">
        <v>722</v>
      </c>
    </row>
    <row r="46" spans="1:64" s="2" customFormat="1" ht="14" x14ac:dyDescent="0.3">
      <c r="B46" s="2" t="s">
        <v>653</v>
      </c>
      <c r="C46" s="2" t="s">
        <v>673</v>
      </c>
      <c r="D46" s="2" t="s">
        <v>720</v>
      </c>
      <c r="E46" s="2" t="s">
        <v>716</v>
      </c>
      <c r="F46" s="2" t="s">
        <v>19</v>
      </c>
      <c r="G46" s="2" t="s">
        <v>1039</v>
      </c>
      <c r="H46" s="34"/>
      <c r="I46" s="5">
        <f>0.76*3</f>
        <v>2.2800000000000002</v>
      </c>
      <c r="J46" s="5">
        <f>0.06*3</f>
        <v>0.18</v>
      </c>
      <c r="K46" s="34">
        <v>15</v>
      </c>
      <c r="L46" s="34"/>
      <c r="M46" s="5"/>
      <c r="N46" s="5"/>
      <c r="O46" s="34"/>
      <c r="P46" s="2" t="s">
        <v>52</v>
      </c>
      <c r="Q46" s="39" t="s">
        <v>383</v>
      </c>
      <c r="R46" s="2" t="s">
        <v>382</v>
      </c>
      <c r="S46" s="2" t="s">
        <v>381</v>
      </c>
      <c r="T46" s="2" t="s">
        <v>52</v>
      </c>
      <c r="U46" s="2" t="s">
        <v>126</v>
      </c>
      <c r="V46" s="44" t="s">
        <v>380</v>
      </c>
    </row>
    <row r="47" spans="1:64" s="2" customFormat="1" ht="14" x14ac:dyDescent="0.3">
      <c r="B47" s="2" t="s">
        <v>653</v>
      </c>
      <c r="C47" s="2" t="s">
        <v>673</v>
      </c>
      <c r="D47" s="2" t="s">
        <v>1724</v>
      </c>
      <c r="E47" s="2" t="s">
        <v>716</v>
      </c>
      <c r="F47" s="2" t="s">
        <v>329</v>
      </c>
      <c r="H47" s="34"/>
      <c r="I47" s="5">
        <v>3.24</v>
      </c>
      <c r="J47" s="5"/>
      <c r="K47" s="34"/>
      <c r="L47" s="34"/>
      <c r="M47" s="5">
        <v>1.41</v>
      </c>
      <c r="N47" s="5"/>
      <c r="O47" s="34"/>
      <c r="P47" s="2" t="s">
        <v>28</v>
      </c>
      <c r="Q47" s="39" t="s">
        <v>194</v>
      </c>
      <c r="R47" s="2" t="s">
        <v>26</v>
      </c>
      <c r="S47" s="2" t="s">
        <v>25</v>
      </c>
      <c r="U47" s="2" t="s">
        <v>24</v>
      </c>
      <c r="V47" s="44" t="s">
        <v>23</v>
      </c>
    </row>
    <row r="48" spans="1:64" s="2" customFormat="1" ht="14" x14ac:dyDescent="0.3">
      <c r="B48" s="2" t="s">
        <v>653</v>
      </c>
      <c r="C48" s="2" t="s">
        <v>673</v>
      </c>
      <c r="D48" s="2" t="s">
        <v>719</v>
      </c>
      <c r="E48" s="2" t="s">
        <v>716</v>
      </c>
      <c r="F48" s="2" t="s">
        <v>329</v>
      </c>
      <c r="H48" s="34"/>
      <c r="I48" s="5">
        <v>5.28</v>
      </c>
      <c r="J48" s="5"/>
      <c r="K48" s="34"/>
      <c r="L48" s="34"/>
      <c r="M48" s="5">
        <v>1.4</v>
      </c>
      <c r="N48" s="5"/>
      <c r="O48" s="34"/>
      <c r="P48" s="2" t="s">
        <v>28</v>
      </c>
      <c r="Q48" s="39" t="s">
        <v>194</v>
      </c>
      <c r="R48" s="2" t="s">
        <v>26</v>
      </c>
      <c r="S48" s="2" t="s">
        <v>25</v>
      </c>
      <c r="U48" s="2" t="s">
        <v>24</v>
      </c>
      <c r="V48" s="44" t="s">
        <v>23</v>
      </c>
    </row>
    <row r="49" spans="1:64" s="2" customFormat="1" ht="14" x14ac:dyDescent="0.3">
      <c r="B49" s="2" t="s">
        <v>653</v>
      </c>
      <c r="C49" s="2" t="s">
        <v>673</v>
      </c>
      <c r="D49" s="2" t="s">
        <v>719</v>
      </c>
      <c r="E49" s="2" t="s">
        <v>716</v>
      </c>
      <c r="F49" s="2" t="s">
        <v>1034</v>
      </c>
      <c r="G49" s="2" t="s">
        <v>1036</v>
      </c>
      <c r="H49" s="34"/>
      <c r="I49" s="5">
        <f>3.9175/2</f>
        <v>1.95875</v>
      </c>
      <c r="J49" s="5">
        <f>0.783681217077454/2</f>
        <v>0.39184060853872699</v>
      </c>
      <c r="K49" s="34">
        <v>104</v>
      </c>
      <c r="L49" s="34"/>
      <c r="M49" s="5"/>
      <c r="N49" s="5"/>
      <c r="O49" s="34"/>
      <c r="P49" s="2" t="s">
        <v>88</v>
      </c>
      <c r="Q49" s="39" t="s">
        <v>77</v>
      </c>
      <c r="R49" s="2" t="s">
        <v>66</v>
      </c>
      <c r="S49" s="2" t="s">
        <v>396</v>
      </c>
      <c r="U49" s="2" t="s">
        <v>37</v>
      </c>
      <c r="V49" s="44" t="s">
        <v>395</v>
      </c>
    </row>
    <row r="50" spans="1:64" x14ac:dyDescent="0.35">
      <c r="A50" s="2"/>
      <c r="B50" s="2" t="s">
        <v>653</v>
      </c>
      <c r="C50" s="2" t="s">
        <v>673</v>
      </c>
      <c r="D50" s="2" t="s">
        <v>695</v>
      </c>
      <c r="E50" s="2" t="s">
        <v>716</v>
      </c>
      <c r="F50" s="2" t="s">
        <v>59</v>
      </c>
      <c r="G50" s="2" t="s">
        <v>303</v>
      </c>
      <c r="H50" s="34" t="s">
        <v>718</v>
      </c>
      <c r="I50" s="5">
        <v>4.5</v>
      </c>
      <c r="J50" s="5">
        <v>0.91</v>
      </c>
      <c r="K50" s="34">
        <v>24</v>
      </c>
      <c r="L50" s="34"/>
      <c r="M50" s="5"/>
      <c r="N50" s="5"/>
      <c r="O50" s="34"/>
      <c r="P50" s="2" t="s">
        <v>88</v>
      </c>
      <c r="Q50" s="39" t="s">
        <v>40</v>
      </c>
      <c r="R50" s="2" t="s">
        <v>39</v>
      </c>
      <c r="S50" s="2" t="s">
        <v>273</v>
      </c>
      <c r="T50" s="2"/>
      <c r="U50" s="2" t="s">
        <v>37</v>
      </c>
      <c r="V50" s="44" t="s">
        <v>272</v>
      </c>
      <c r="W50" s="2"/>
    </row>
    <row r="51" spans="1:64" x14ac:dyDescent="0.35">
      <c r="A51" s="2"/>
      <c r="B51" s="2" t="s">
        <v>653</v>
      </c>
      <c r="C51" s="2" t="s">
        <v>673</v>
      </c>
      <c r="D51" s="2" t="s">
        <v>695</v>
      </c>
      <c r="E51" s="2" t="s">
        <v>716</v>
      </c>
      <c r="F51" s="2" t="s">
        <v>31</v>
      </c>
      <c r="G51" s="2" t="s">
        <v>54</v>
      </c>
      <c r="H51" s="34"/>
      <c r="I51" s="5">
        <v>2.36</v>
      </c>
      <c r="J51" s="5"/>
      <c r="K51" s="34">
        <v>1</v>
      </c>
      <c r="L51" s="34"/>
      <c r="M51" s="5"/>
      <c r="N51" s="5"/>
      <c r="O51" s="34"/>
      <c r="P51" s="2" t="s">
        <v>347</v>
      </c>
      <c r="Q51" s="39" t="s">
        <v>40</v>
      </c>
      <c r="R51" s="2" t="s">
        <v>4</v>
      </c>
      <c r="S51" s="2" t="s">
        <v>435</v>
      </c>
      <c r="T51" s="2" t="s">
        <v>353</v>
      </c>
      <c r="U51" s="2" t="s">
        <v>1</v>
      </c>
      <c r="V51" s="44" t="s">
        <v>352</v>
      </c>
      <c r="W51" s="2"/>
    </row>
    <row r="52" spans="1:64" x14ac:dyDescent="0.35">
      <c r="A52" s="2"/>
      <c r="B52" s="2" t="s">
        <v>653</v>
      </c>
      <c r="C52" s="2" t="s">
        <v>673</v>
      </c>
      <c r="D52" s="2" t="s">
        <v>695</v>
      </c>
      <c r="E52" s="2" t="s">
        <v>716</v>
      </c>
      <c r="F52" s="2" t="s">
        <v>407</v>
      </c>
      <c r="G52" s="2"/>
      <c r="H52" s="34"/>
      <c r="I52" s="5"/>
      <c r="J52" s="5"/>
      <c r="K52" s="34"/>
      <c r="L52" s="34"/>
      <c r="M52" s="5">
        <v>1.32</v>
      </c>
      <c r="N52" s="5">
        <v>4.8000000000000001E-2</v>
      </c>
      <c r="O52" s="34">
        <v>3</v>
      </c>
      <c r="P52" s="2" t="s">
        <v>682</v>
      </c>
      <c r="Q52" s="39" t="s">
        <v>233</v>
      </c>
      <c r="R52" s="2" t="s">
        <v>4</v>
      </c>
      <c r="S52" s="2" t="s">
        <v>683</v>
      </c>
      <c r="T52" s="2" t="s">
        <v>682</v>
      </c>
      <c r="U52" s="2" t="s">
        <v>1215</v>
      </c>
      <c r="V52" s="44" t="s">
        <v>681</v>
      </c>
      <c r="W52" s="2"/>
    </row>
    <row r="53" spans="1:64" x14ac:dyDescent="0.35">
      <c r="A53" s="2"/>
      <c r="B53" s="2" t="s">
        <v>653</v>
      </c>
      <c r="C53" s="2" t="s">
        <v>673</v>
      </c>
      <c r="D53" s="2" t="s">
        <v>695</v>
      </c>
      <c r="E53" s="2" t="s">
        <v>716</v>
      </c>
      <c r="F53" s="2" t="s">
        <v>1483</v>
      </c>
      <c r="G53" s="2"/>
      <c r="H53" s="34"/>
      <c r="I53" s="5"/>
      <c r="J53" s="5"/>
      <c r="K53" s="34"/>
      <c r="L53" s="34"/>
      <c r="M53" s="5">
        <v>1.0900000000000001</v>
      </c>
      <c r="N53" s="5"/>
      <c r="O53" s="34"/>
      <c r="P53" s="251" t="s">
        <v>1484</v>
      </c>
      <c r="Q53" s="252" t="s">
        <v>87</v>
      </c>
      <c r="R53" s="252" t="s">
        <v>502</v>
      </c>
      <c r="S53" s="251" t="s">
        <v>1485</v>
      </c>
      <c r="T53" s="251" t="s">
        <v>1486</v>
      </c>
      <c r="U53" s="251" t="s">
        <v>13</v>
      </c>
      <c r="V53" s="286" t="s">
        <v>1487</v>
      </c>
      <c r="W53" s="286"/>
      <c r="X53" s="286"/>
      <c r="Y53" s="286"/>
      <c r="Z53" s="286"/>
      <c r="AA53" s="286"/>
      <c r="AB53" s="286"/>
      <c r="AC53" s="286"/>
      <c r="AD53" s="286"/>
      <c r="AE53" s="286"/>
      <c r="AF53" s="286"/>
      <c r="AG53" s="286"/>
      <c r="AH53" s="286"/>
      <c r="AI53" s="286"/>
      <c r="AJ53" s="286"/>
      <c r="AK53" s="286"/>
      <c r="AL53" s="286"/>
      <c r="AM53" s="286"/>
      <c r="AN53" s="286"/>
      <c r="AO53" s="286"/>
      <c r="AP53" s="286"/>
    </row>
    <row r="54" spans="1:64" x14ac:dyDescent="0.35">
      <c r="A54" s="2"/>
      <c r="B54" s="2" t="s">
        <v>653</v>
      </c>
      <c r="C54" s="2" t="s">
        <v>673</v>
      </c>
      <c r="D54" s="2" t="s">
        <v>695</v>
      </c>
      <c r="E54" s="2" t="s">
        <v>716</v>
      </c>
      <c r="F54" s="2" t="s">
        <v>407</v>
      </c>
      <c r="G54" s="2"/>
      <c r="H54" s="34"/>
      <c r="I54" s="5"/>
      <c r="J54" s="5"/>
      <c r="K54" s="34"/>
      <c r="L54" s="34"/>
      <c r="M54" s="5">
        <v>1.68</v>
      </c>
      <c r="N54" s="5">
        <v>0.36</v>
      </c>
      <c r="O54" s="34">
        <v>4</v>
      </c>
      <c r="P54" s="2" t="s">
        <v>710</v>
      </c>
      <c r="Q54" s="42" t="s">
        <v>709</v>
      </c>
      <c r="R54" s="2" t="s">
        <v>4</v>
      </c>
      <c r="S54" s="2" t="s">
        <v>708</v>
      </c>
      <c r="T54" s="2"/>
      <c r="U54" s="2" t="s">
        <v>1215</v>
      </c>
      <c r="V54" s="44" t="s">
        <v>717</v>
      </c>
      <c r="W54" s="2"/>
    </row>
    <row r="55" spans="1:64" x14ac:dyDescent="0.35">
      <c r="A55" s="2"/>
      <c r="B55" s="2" t="s">
        <v>653</v>
      </c>
      <c r="C55" s="2" t="s">
        <v>673</v>
      </c>
      <c r="D55" s="2" t="s">
        <v>695</v>
      </c>
      <c r="E55" s="2" t="s">
        <v>716</v>
      </c>
      <c r="F55" s="2" t="s">
        <v>1763</v>
      </c>
      <c r="G55" s="2"/>
      <c r="H55" s="34" t="s">
        <v>1764</v>
      </c>
      <c r="I55" s="5">
        <v>1.5965232870558241</v>
      </c>
      <c r="J55" s="5">
        <v>0.19893165302143831</v>
      </c>
      <c r="K55" s="34"/>
      <c r="L55" s="34"/>
      <c r="M55" s="5"/>
      <c r="N55" s="5"/>
      <c r="O55" s="34">
        <v>6</v>
      </c>
      <c r="P55" s="2" t="s">
        <v>798</v>
      </c>
      <c r="Q55" s="42" t="s">
        <v>1139</v>
      </c>
      <c r="R55" s="2" t="s">
        <v>1765</v>
      </c>
      <c r="S55" s="2" t="s">
        <v>1766</v>
      </c>
      <c r="T55" s="2"/>
      <c r="U55" s="2" t="s">
        <v>24</v>
      </c>
      <c r="V55" s="44" t="s">
        <v>1767</v>
      </c>
      <c r="W55" s="2"/>
    </row>
    <row r="56" spans="1:64" s="12" customFormat="1" x14ac:dyDescent="0.35">
      <c r="A56" s="7" t="s">
        <v>860</v>
      </c>
      <c r="B56" s="7"/>
      <c r="C56" s="7" t="s">
        <v>673</v>
      </c>
      <c r="D56" s="7"/>
      <c r="E56" s="7" t="s">
        <v>716</v>
      </c>
      <c r="F56" s="7"/>
      <c r="G56" s="7"/>
      <c r="H56" s="33"/>
      <c r="I56" s="8">
        <f>AVERAGE(I40:I55)</f>
        <v>3.0305521170050751</v>
      </c>
      <c r="J56" s="8">
        <f>STDEV(I40:I55)/SQRT(COUNT(I40:I55))</f>
        <v>0.42859108860934919</v>
      </c>
      <c r="K56" s="33"/>
      <c r="L56" s="33"/>
      <c r="M56" s="8">
        <f>AVERAGE(M40:M55)</f>
        <v>1.3742857142857141</v>
      </c>
      <c r="N56" s="8">
        <f>STDEV(M40:M55)/SQRT(COUNT(M40:M55))</f>
        <v>7.9846792071326958E-2</v>
      </c>
      <c r="O56" s="33"/>
      <c r="P56" s="7"/>
      <c r="Q56" s="40"/>
      <c r="R56" s="7"/>
      <c r="S56" s="7"/>
      <c r="T56" s="7"/>
      <c r="U56" s="7"/>
      <c r="V56" s="13"/>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row>
    <row r="57" spans="1:64" x14ac:dyDescent="0.35">
      <c r="A57" s="2"/>
      <c r="B57" s="3" t="s">
        <v>653</v>
      </c>
      <c r="C57" s="3" t="s">
        <v>673</v>
      </c>
      <c r="D57" s="3" t="s">
        <v>703</v>
      </c>
      <c r="E57" s="3" t="s">
        <v>694</v>
      </c>
      <c r="F57" s="3" t="s">
        <v>329</v>
      </c>
      <c r="H57" s="32" t="s">
        <v>702</v>
      </c>
      <c r="I57" s="4">
        <v>3.76</v>
      </c>
      <c r="M57" s="4">
        <v>1.52</v>
      </c>
      <c r="P57" s="3" t="s">
        <v>28</v>
      </c>
      <c r="Q57" s="26" t="s">
        <v>194</v>
      </c>
      <c r="R57" s="3" t="s">
        <v>26</v>
      </c>
      <c r="S57" s="3" t="s">
        <v>25</v>
      </c>
      <c r="U57" s="3" t="s">
        <v>24</v>
      </c>
      <c r="V57" s="10" t="s">
        <v>23</v>
      </c>
    </row>
    <row r="58" spans="1:64" x14ac:dyDescent="0.35">
      <c r="A58" s="2"/>
      <c r="B58" s="2" t="s">
        <v>653</v>
      </c>
      <c r="C58" s="2" t="s">
        <v>673</v>
      </c>
      <c r="D58" s="2" t="s">
        <v>703</v>
      </c>
      <c r="E58" s="2" t="s">
        <v>694</v>
      </c>
      <c r="F58" s="2" t="s">
        <v>1483</v>
      </c>
      <c r="G58" s="2"/>
      <c r="H58" s="34"/>
      <c r="I58" s="5"/>
      <c r="J58" s="5"/>
      <c r="K58" s="34"/>
      <c r="L58" s="34"/>
      <c r="M58" s="5">
        <v>1.44</v>
      </c>
      <c r="N58" s="5"/>
      <c r="O58" s="34"/>
      <c r="P58" s="251" t="s">
        <v>1484</v>
      </c>
      <c r="Q58" s="252" t="s">
        <v>87</v>
      </c>
      <c r="R58" s="252" t="s">
        <v>502</v>
      </c>
      <c r="S58" s="251" t="s">
        <v>1485</v>
      </c>
      <c r="T58" s="251" t="s">
        <v>1486</v>
      </c>
      <c r="U58" s="251" t="s">
        <v>13</v>
      </c>
      <c r="V58" s="286" t="s">
        <v>1487</v>
      </c>
      <c r="W58" s="286"/>
      <c r="X58" s="286"/>
      <c r="Y58" s="286"/>
      <c r="Z58" s="286"/>
      <c r="AA58" s="286"/>
      <c r="AB58" s="286"/>
      <c r="AC58" s="286"/>
      <c r="AD58" s="286"/>
      <c r="AE58" s="286"/>
      <c r="AF58" s="286"/>
      <c r="AG58" s="286"/>
      <c r="AH58" s="286"/>
      <c r="AI58" s="286"/>
      <c r="AJ58" s="286"/>
      <c r="AK58" s="286"/>
      <c r="AL58" s="286"/>
      <c r="AM58" s="286"/>
      <c r="AN58" s="286"/>
      <c r="AO58" s="286"/>
      <c r="AP58" s="286"/>
    </row>
    <row r="59" spans="1:64" x14ac:dyDescent="0.35">
      <c r="A59" s="2"/>
      <c r="B59" s="2" t="s">
        <v>653</v>
      </c>
      <c r="C59" s="2" t="s">
        <v>673</v>
      </c>
      <c r="D59" s="2" t="s">
        <v>701</v>
      </c>
      <c r="E59" s="2" t="s">
        <v>694</v>
      </c>
      <c r="F59" s="2" t="s">
        <v>329</v>
      </c>
      <c r="G59" s="2"/>
      <c r="H59" s="34" t="s">
        <v>700</v>
      </c>
      <c r="I59" s="5">
        <v>2.4</v>
      </c>
      <c r="J59" s="5"/>
      <c r="K59" s="34"/>
      <c r="L59" s="34"/>
      <c r="M59" s="5">
        <v>1.47</v>
      </c>
      <c r="N59" s="5"/>
      <c r="O59" s="34"/>
      <c r="P59" s="2" t="s">
        <v>28</v>
      </c>
      <c r="Q59" s="39" t="s">
        <v>194</v>
      </c>
      <c r="R59" s="2" t="s">
        <v>26</v>
      </c>
      <c r="S59" s="2" t="s">
        <v>25</v>
      </c>
      <c r="T59" s="2"/>
      <c r="U59" s="2" t="s">
        <v>24</v>
      </c>
      <c r="V59" s="44" t="s">
        <v>23</v>
      </c>
      <c r="W59" s="2"/>
    </row>
    <row r="60" spans="1:64" x14ac:dyDescent="0.35">
      <c r="A60" s="2"/>
      <c r="B60" s="2" t="s">
        <v>653</v>
      </c>
      <c r="C60" s="2" t="s">
        <v>673</v>
      </c>
      <c r="D60" s="2" t="s">
        <v>696</v>
      </c>
      <c r="E60" s="2" t="s">
        <v>694</v>
      </c>
      <c r="F60" s="2" t="s">
        <v>234</v>
      </c>
      <c r="G60" s="2" t="s">
        <v>1035</v>
      </c>
      <c r="H60" s="34" t="s">
        <v>699</v>
      </c>
      <c r="I60" s="5">
        <v>1.93</v>
      </c>
      <c r="J60" s="5">
        <v>0.22700000000000001</v>
      </c>
      <c r="K60" s="34">
        <v>25</v>
      </c>
      <c r="L60" s="34"/>
      <c r="M60" s="5"/>
      <c r="N60" s="5"/>
      <c r="O60" s="34"/>
      <c r="P60" s="2" t="s">
        <v>283</v>
      </c>
      <c r="Q60" s="39" t="s">
        <v>282</v>
      </c>
      <c r="R60" s="2" t="s">
        <v>26</v>
      </c>
      <c r="S60" s="2" t="s">
        <v>281</v>
      </c>
      <c r="T60" s="2"/>
      <c r="U60" s="2" t="s">
        <v>24</v>
      </c>
      <c r="V60" s="44" t="s">
        <v>280</v>
      </c>
      <c r="W60" s="2"/>
    </row>
    <row r="61" spans="1:64" x14ac:dyDescent="0.35">
      <c r="A61" s="2"/>
      <c r="B61" s="2" t="s">
        <v>653</v>
      </c>
      <c r="C61" s="2" t="s">
        <v>673</v>
      </c>
      <c r="D61" s="2" t="s">
        <v>696</v>
      </c>
      <c r="E61" s="2" t="s">
        <v>694</v>
      </c>
      <c r="F61" s="2" t="s">
        <v>59</v>
      </c>
      <c r="G61" s="2"/>
      <c r="H61" s="34" t="s">
        <v>698</v>
      </c>
      <c r="I61" s="5">
        <v>0.96</v>
      </c>
      <c r="J61" s="5">
        <v>0.22</v>
      </c>
      <c r="K61" s="34">
        <v>7</v>
      </c>
      <c r="L61" s="34"/>
      <c r="M61" s="5"/>
      <c r="N61" s="5"/>
      <c r="O61" s="34"/>
      <c r="P61" s="2" t="s">
        <v>88</v>
      </c>
      <c r="Q61" s="39" t="s">
        <v>40</v>
      </c>
      <c r="R61" s="2" t="s">
        <v>39</v>
      </c>
      <c r="S61" s="2" t="s">
        <v>273</v>
      </c>
      <c r="T61" s="2"/>
      <c r="U61" s="2" t="s">
        <v>37</v>
      </c>
      <c r="V61" s="44" t="s">
        <v>272</v>
      </c>
      <c r="W61" s="2"/>
    </row>
    <row r="62" spans="1:64" x14ac:dyDescent="0.35">
      <c r="A62" s="2"/>
      <c r="B62" s="2" t="s">
        <v>653</v>
      </c>
      <c r="C62" s="2" t="s">
        <v>673</v>
      </c>
      <c r="D62" s="2" t="s">
        <v>696</v>
      </c>
      <c r="E62" s="2" t="s">
        <v>694</v>
      </c>
      <c r="F62" s="2" t="s">
        <v>304</v>
      </c>
      <c r="G62" s="2"/>
      <c r="H62" s="34" t="s">
        <v>697</v>
      </c>
      <c r="I62" s="5">
        <v>2.37</v>
      </c>
      <c r="J62" s="5">
        <v>0.56999999999999995</v>
      </c>
      <c r="K62" s="34">
        <v>4</v>
      </c>
      <c r="L62" s="34"/>
      <c r="M62" s="5"/>
      <c r="N62" s="5"/>
      <c r="O62" s="34"/>
      <c r="P62" s="2" t="s">
        <v>88</v>
      </c>
      <c r="Q62" s="39" t="s">
        <v>40</v>
      </c>
      <c r="R62" s="2" t="s">
        <v>39</v>
      </c>
      <c r="S62" s="2" t="s">
        <v>273</v>
      </c>
      <c r="T62" s="2"/>
      <c r="U62" s="2" t="s">
        <v>37</v>
      </c>
      <c r="V62" s="44" t="s">
        <v>272</v>
      </c>
      <c r="W62" s="2"/>
    </row>
    <row r="63" spans="1:64" x14ac:dyDescent="0.35">
      <c r="A63" s="2"/>
      <c r="B63" s="2" t="s">
        <v>653</v>
      </c>
      <c r="C63" s="2" t="s">
        <v>673</v>
      </c>
      <c r="D63" s="2" t="s">
        <v>696</v>
      </c>
      <c r="E63" s="2" t="s">
        <v>694</v>
      </c>
      <c r="F63" s="2" t="s">
        <v>304</v>
      </c>
      <c r="G63" s="2" t="s">
        <v>1055</v>
      </c>
      <c r="H63" s="34" t="s">
        <v>1059</v>
      </c>
      <c r="I63" s="5">
        <v>1.32</v>
      </c>
      <c r="J63" s="5"/>
      <c r="K63" s="34">
        <v>2</v>
      </c>
      <c r="L63" s="34"/>
      <c r="M63" s="5"/>
      <c r="N63" s="5"/>
      <c r="O63" s="34"/>
      <c r="P63" s="2" t="s">
        <v>41</v>
      </c>
      <c r="Q63" s="39" t="s">
        <v>40</v>
      </c>
      <c r="R63" s="2" t="s">
        <v>1060</v>
      </c>
      <c r="S63" s="2" t="s">
        <v>1061</v>
      </c>
      <c r="T63" s="2"/>
      <c r="U63" s="2" t="s">
        <v>13</v>
      </c>
      <c r="V63" s="44" t="s">
        <v>688</v>
      </c>
      <c r="W63" s="2"/>
    </row>
    <row r="64" spans="1:64" x14ac:dyDescent="0.35">
      <c r="A64" s="2"/>
      <c r="B64" s="2" t="s">
        <v>653</v>
      </c>
      <c r="C64" s="2" t="s">
        <v>673</v>
      </c>
      <c r="D64" s="2" t="s">
        <v>696</v>
      </c>
      <c r="E64" s="2" t="s">
        <v>694</v>
      </c>
      <c r="F64" s="2" t="s">
        <v>1034</v>
      </c>
      <c r="G64" s="2" t="s">
        <v>1036</v>
      </c>
      <c r="H64" s="34"/>
      <c r="I64" s="5">
        <f>2.87/2</f>
        <v>1.4350000000000001</v>
      </c>
      <c r="J64" s="5">
        <f>0.434050688284214/2</f>
        <v>0.217025344142107</v>
      </c>
      <c r="K64" s="34">
        <v>38</v>
      </c>
      <c r="L64" s="34"/>
      <c r="M64" s="5"/>
      <c r="N64" s="5"/>
      <c r="O64" s="34"/>
      <c r="P64" s="2" t="s">
        <v>88</v>
      </c>
      <c r="Q64" s="39" t="s">
        <v>77</v>
      </c>
      <c r="R64" s="2" t="s">
        <v>66</v>
      </c>
      <c r="S64" s="2" t="s">
        <v>396</v>
      </c>
      <c r="T64" s="2"/>
      <c r="U64" s="2" t="s">
        <v>37</v>
      </c>
      <c r="V64" s="44" t="s">
        <v>395</v>
      </c>
      <c r="W64" s="2"/>
    </row>
    <row r="65" spans="1:64" s="12" customFormat="1" x14ac:dyDescent="0.35">
      <c r="A65" s="7" t="s">
        <v>861</v>
      </c>
      <c r="B65" s="7"/>
      <c r="C65" s="7" t="s">
        <v>673</v>
      </c>
      <c r="D65" s="7"/>
      <c r="E65" s="7" t="s">
        <v>694</v>
      </c>
      <c r="F65" s="7"/>
      <c r="G65" s="7"/>
      <c r="H65" s="33"/>
      <c r="I65" s="8">
        <f>AVERAGE(I57:I64)</f>
        <v>2.0250000000000004</v>
      </c>
      <c r="J65" s="8">
        <f>STDEV(I57:I64)/SQRT(COUNT(I57:I64))</f>
        <v>0.35383107349613629</v>
      </c>
      <c r="K65" s="33"/>
      <c r="L65" s="33"/>
      <c r="M65" s="8">
        <f>AVERAGE(M57:M64)</f>
        <v>1.4766666666666666</v>
      </c>
      <c r="N65" s="8">
        <f>STDEV(M57:M64)/SQRT(COUNT(M57:M64))</f>
        <v>2.3333333333333355E-2</v>
      </c>
      <c r="O65" s="33"/>
      <c r="P65" s="7"/>
      <c r="Q65" s="38"/>
      <c r="R65" s="7"/>
      <c r="S65" s="7"/>
      <c r="T65" s="7"/>
      <c r="U65" s="7"/>
      <c r="V65" s="13"/>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row>
    <row r="66" spans="1:64" s="2" customFormat="1" ht="14" x14ac:dyDescent="0.3">
      <c r="B66" s="3" t="s">
        <v>653</v>
      </c>
      <c r="C66" s="3" t="s">
        <v>673</v>
      </c>
      <c r="D66" s="3" t="s">
        <v>723</v>
      </c>
      <c r="E66" s="3" t="s">
        <v>1624</v>
      </c>
      <c r="F66" s="2" t="s">
        <v>31</v>
      </c>
      <c r="G66" s="2" t="s">
        <v>1841</v>
      </c>
      <c r="H66" s="32"/>
      <c r="I66" s="5">
        <f>2*1.2</f>
        <v>2.4</v>
      </c>
      <c r="J66" s="4">
        <f>0.88*1.2</f>
        <v>1.056</v>
      </c>
      <c r="K66" s="32">
        <v>5</v>
      </c>
      <c r="L66" s="32"/>
      <c r="M66" s="4"/>
      <c r="N66" s="4"/>
      <c r="O66" s="32"/>
      <c r="P66" s="3"/>
      <c r="Q66" s="26" t="s">
        <v>40</v>
      </c>
      <c r="R66" s="3" t="s">
        <v>370</v>
      </c>
      <c r="S66" s="3" t="s">
        <v>632</v>
      </c>
      <c r="T66" s="3"/>
      <c r="U66" s="3" t="s">
        <v>85</v>
      </c>
      <c r="V66" s="10" t="s">
        <v>631</v>
      </c>
      <c r="W66" s="3"/>
    </row>
    <row r="67" spans="1:64" x14ac:dyDescent="0.35">
      <c r="A67" s="2"/>
      <c r="B67" s="3" t="s">
        <v>653</v>
      </c>
      <c r="C67" s="3" t="s">
        <v>673</v>
      </c>
      <c r="D67" s="3" t="s">
        <v>727</v>
      </c>
      <c r="E67" s="3" t="s">
        <v>1624</v>
      </c>
      <c r="F67" s="3" t="s">
        <v>407</v>
      </c>
      <c r="G67" s="2"/>
      <c r="M67" s="4">
        <v>1.27</v>
      </c>
      <c r="N67" s="4">
        <v>0.03</v>
      </c>
      <c r="O67" s="32">
        <v>3</v>
      </c>
      <c r="P67" s="3" t="s">
        <v>710</v>
      </c>
      <c r="Q67" s="37" t="s">
        <v>709</v>
      </c>
      <c r="R67" s="3" t="s">
        <v>4</v>
      </c>
      <c r="S67" s="3" t="s">
        <v>708</v>
      </c>
      <c r="U67" s="3" t="s">
        <v>1215</v>
      </c>
      <c r="V67" s="10" t="s">
        <v>681</v>
      </c>
    </row>
    <row r="68" spans="1:64" s="12" customFormat="1" x14ac:dyDescent="0.35">
      <c r="A68" s="7" t="s">
        <v>1623</v>
      </c>
      <c r="B68" s="7"/>
      <c r="C68" s="7" t="s">
        <v>673</v>
      </c>
      <c r="D68" s="7"/>
      <c r="E68" s="7" t="s">
        <v>1624</v>
      </c>
      <c r="F68" s="7"/>
      <c r="G68" s="7"/>
      <c r="H68" s="33"/>
      <c r="I68" s="8">
        <f>AVERAGE(I66:I67)</f>
        <v>2.4</v>
      </c>
      <c r="J68" s="8">
        <f>J66/SQRT(K66)</f>
        <v>0.47225755684795556</v>
      </c>
      <c r="K68" s="33"/>
      <c r="L68" s="33"/>
      <c r="M68" s="8">
        <f>M67</f>
        <v>1.27</v>
      </c>
      <c r="N68" s="8">
        <f>N67/SQRT(O67)</f>
        <v>1.7320508075688773E-2</v>
      </c>
      <c r="O68" s="33"/>
      <c r="P68" s="7"/>
      <c r="Q68" s="38"/>
      <c r="R68" s="7"/>
      <c r="S68" s="7"/>
      <c r="T68" s="7"/>
      <c r="U68" s="7"/>
      <c r="V68" s="13"/>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x14ac:dyDescent="0.35">
      <c r="A69" s="2"/>
      <c r="B69" s="2" t="s">
        <v>653</v>
      </c>
      <c r="C69" s="2" t="s">
        <v>673</v>
      </c>
      <c r="D69" s="2" t="s">
        <v>566</v>
      </c>
      <c r="E69" s="2" t="s">
        <v>34</v>
      </c>
      <c r="F69" s="2" t="s">
        <v>31</v>
      </c>
      <c r="G69" s="2" t="s">
        <v>54</v>
      </c>
      <c r="H69" s="34"/>
      <c r="I69" s="5">
        <v>2.2400000000000002</v>
      </c>
      <c r="J69" s="5">
        <v>0.193</v>
      </c>
      <c r="K69" s="34">
        <v>3</v>
      </c>
      <c r="L69" s="34"/>
      <c r="M69" s="5"/>
      <c r="N69" s="5"/>
      <c r="O69" s="34"/>
      <c r="P69" s="2" t="s">
        <v>347</v>
      </c>
      <c r="Q69" s="39" t="s">
        <v>40</v>
      </c>
      <c r="R69" s="2" t="s">
        <v>4</v>
      </c>
      <c r="S69" s="2" t="s">
        <v>735</v>
      </c>
      <c r="T69" s="2" t="s">
        <v>353</v>
      </c>
      <c r="U69" s="2" t="s">
        <v>1</v>
      </c>
      <c r="V69" s="44" t="s">
        <v>352</v>
      </c>
      <c r="W69" s="2"/>
    </row>
    <row r="70" spans="1:64" s="12" customFormat="1" x14ac:dyDescent="0.35">
      <c r="A70" s="7" t="s">
        <v>863</v>
      </c>
      <c r="B70" s="7"/>
      <c r="C70" s="7" t="s">
        <v>673</v>
      </c>
      <c r="D70" s="7"/>
      <c r="E70" s="7" t="s">
        <v>34</v>
      </c>
      <c r="F70" s="7"/>
      <c r="G70" s="7"/>
      <c r="H70" s="33"/>
      <c r="I70" s="8">
        <f>AVERAGE(I67:I69)</f>
        <v>2.3200000000000003</v>
      </c>
      <c r="J70" s="8">
        <f>J69/SQRT(3)</f>
        <v>0.11142860195359779</v>
      </c>
      <c r="K70" s="33"/>
      <c r="L70" s="33"/>
      <c r="M70" s="8"/>
      <c r="N70" s="8"/>
      <c r="O70" s="33"/>
      <c r="P70" s="7"/>
      <c r="Q70" s="38"/>
      <c r="R70" s="7"/>
      <c r="S70" s="7"/>
      <c r="T70" s="7"/>
      <c r="U70" s="7"/>
      <c r="V70" s="13"/>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x14ac:dyDescent="0.35">
      <c r="A71" s="2"/>
      <c r="B71" s="2" t="s">
        <v>653</v>
      </c>
      <c r="C71" s="2" t="s">
        <v>673</v>
      </c>
      <c r="D71" s="2" t="s">
        <v>687</v>
      </c>
      <c r="E71" s="3" t="s">
        <v>675</v>
      </c>
      <c r="F71" s="2" t="s">
        <v>304</v>
      </c>
      <c r="G71" s="2" t="s">
        <v>1056</v>
      </c>
      <c r="H71" s="34" t="s">
        <v>693</v>
      </c>
      <c r="I71" s="5">
        <v>10.8</v>
      </c>
      <c r="J71" s="5"/>
      <c r="K71" s="34">
        <v>5</v>
      </c>
      <c r="L71" s="34"/>
      <c r="M71" s="5"/>
      <c r="N71" s="5"/>
      <c r="O71" s="34"/>
      <c r="P71" s="2" t="s">
        <v>41</v>
      </c>
      <c r="Q71" s="39" t="s">
        <v>40</v>
      </c>
      <c r="R71" s="2" t="s">
        <v>26</v>
      </c>
      <c r="S71" s="2" t="s">
        <v>41</v>
      </c>
      <c r="T71" s="2"/>
      <c r="U71" s="2" t="s">
        <v>24</v>
      </c>
      <c r="V71" s="44" t="s">
        <v>688</v>
      </c>
      <c r="W71" s="2"/>
    </row>
    <row r="72" spans="1:64" x14ac:dyDescent="0.35">
      <c r="A72" s="2"/>
      <c r="B72" s="2" t="s">
        <v>653</v>
      </c>
      <c r="C72" s="2" t="s">
        <v>673</v>
      </c>
      <c r="D72" s="2" t="s">
        <v>687</v>
      </c>
      <c r="E72" s="3" t="s">
        <v>675</v>
      </c>
      <c r="F72" s="2" t="s">
        <v>304</v>
      </c>
      <c r="G72" s="2" t="s">
        <v>1056</v>
      </c>
      <c r="H72" s="34" t="s">
        <v>691</v>
      </c>
      <c r="I72" s="5">
        <v>9.32</v>
      </c>
      <c r="J72" s="5">
        <v>3.18</v>
      </c>
      <c r="K72" s="34">
        <v>21</v>
      </c>
      <c r="L72" s="34"/>
      <c r="M72" s="5"/>
      <c r="N72" s="5"/>
      <c r="O72" s="34"/>
      <c r="P72" s="2" t="s">
        <v>88</v>
      </c>
      <c r="Q72" s="39" t="s">
        <v>40</v>
      </c>
      <c r="R72" s="2" t="s">
        <v>39</v>
      </c>
      <c r="S72" s="2" t="s">
        <v>273</v>
      </c>
      <c r="T72" s="2"/>
      <c r="U72" s="2" t="s">
        <v>37</v>
      </c>
      <c r="V72" s="44" t="s">
        <v>272</v>
      </c>
      <c r="W72" s="2"/>
    </row>
    <row r="73" spans="1:64" x14ac:dyDescent="0.35">
      <c r="A73" s="2"/>
      <c r="B73" s="2" t="s">
        <v>653</v>
      </c>
      <c r="C73" s="2" t="s">
        <v>673</v>
      </c>
      <c r="D73" s="2" t="s">
        <v>687</v>
      </c>
      <c r="E73" s="3" t="s">
        <v>675</v>
      </c>
      <c r="F73" s="2" t="s">
        <v>304</v>
      </c>
      <c r="G73" s="2" t="s">
        <v>1056</v>
      </c>
      <c r="H73" s="34" t="s">
        <v>690</v>
      </c>
      <c r="I73" s="5">
        <v>9.1</v>
      </c>
      <c r="J73" s="5"/>
      <c r="K73" s="34">
        <v>4</v>
      </c>
      <c r="L73" s="34"/>
      <c r="M73" s="5"/>
      <c r="N73" s="5"/>
      <c r="O73" s="34"/>
      <c r="P73" s="2"/>
      <c r="Q73" s="39" t="s">
        <v>40</v>
      </c>
      <c r="R73" s="2" t="s">
        <v>689</v>
      </c>
      <c r="S73" s="2" t="s">
        <v>41</v>
      </c>
      <c r="T73" s="2"/>
      <c r="U73" s="2" t="s">
        <v>242</v>
      </c>
      <c r="V73" s="44" t="s">
        <v>688</v>
      </c>
      <c r="W73" s="2"/>
    </row>
    <row r="74" spans="1:64" x14ac:dyDescent="0.35">
      <c r="A74" s="2"/>
      <c r="B74" s="2" t="s">
        <v>653</v>
      </c>
      <c r="C74" s="2" t="s">
        <v>673</v>
      </c>
      <c r="D74" s="2" t="s">
        <v>687</v>
      </c>
      <c r="E74" s="3" t="s">
        <v>675</v>
      </c>
      <c r="F74" s="2" t="s">
        <v>19</v>
      </c>
      <c r="G74" s="2" t="s">
        <v>1035</v>
      </c>
      <c r="H74" s="34" t="s">
        <v>692</v>
      </c>
      <c r="I74" s="5">
        <v>5.81</v>
      </c>
      <c r="J74" s="5">
        <v>0.85</v>
      </c>
      <c r="K74" s="34">
        <v>12</v>
      </c>
      <c r="L74" s="34"/>
      <c r="M74" s="5"/>
      <c r="N74" s="5"/>
      <c r="O74" s="34"/>
      <c r="P74" s="2" t="s">
        <v>283</v>
      </c>
      <c r="Q74" s="39" t="s">
        <v>282</v>
      </c>
      <c r="R74" s="2" t="s">
        <v>26</v>
      </c>
      <c r="S74" s="2" t="s">
        <v>281</v>
      </c>
      <c r="T74" s="2"/>
      <c r="U74" s="2" t="s">
        <v>24</v>
      </c>
      <c r="V74" s="44" t="s">
        <v>280</v>
      </c>
      <c r="W74" s="2"/>
    </row>
    <row r="75" spans="1:64" x14ac:dyDescent="0.35">
      <c r="A75" s="2"/>
      <c r="B75" s="2" t="s">
        <v>653</v>
      </c>
      <c r="C75" s="2" t="s">
        <v>673</v>
      </c>
      <c r="D75" s="2" t="s">
        <v>687</v>
      </c>
      <c r="E75" s="3" t="s">
        <v>675</v>
      </c>
      <c r="F75" s="2" t="s">
        <v>31</v>
      </c>
      <c r="G75" s="2" t="s">
        <v>54</v>
      </c>
      <c r="H75" s="34"/>
      <c r="I75" s="5">
        <v>2.09</v>
      </c>
      <c r="J75" s="5">
        <v>0.19900000000000001</v>
      </c>
      <c r="K75" s="34">
        <v>2</v>
      </c>
      <c r="L75" s="34"/>
      <c r="M75" s="5"/>
      <c r="N75" s="5"/>
      <c r="O75" s="34"/>
      <c r="P75" s="2" t="s">
        <v>347</v>
      </c>
      <c r="Q75" s="39" t="s">
        <v>40</v>
      </c>
      <c r="R75" s="2" t="s">
        <v>4</v>
      </c>
      <c r="S75" s="2" t="s">
        <v>435</v>
      </c>
      <c r="T75" s="2" t="s">
        <v>353</v>
      </c>
      <c r="U75" s="2" t="s">
        <v>1</v>
      </c>
      <c r="V75" s="44" t="s">
        <v>352</v>
      </c>
      <c r="W75" s="2"/>
    </row>
    <row r="76" spans="1:64" x14ac:dyDescent="0.35">
      <c r="A76" s="2"/>
      <c r="B76" s="2" t="s">
        <v>653</v>
      </c>
      <c r="C76" s="2" t="s">
        <v>673</v>
      </c>
      <c r="D76" s="2" t="s">
        <v>687</v>
      </c>
      <c r="E76" s="2" t="s">
        <v>675</v>
      </c>
      <c r="F76" s="2" t="s">
        <v>1483</v>
      </c>
      <c r="G76" s="2"/>
      <c r="H76" s="34"/>
      <c r="I76" s="5"/>
      <c r="J76" s="5"/>
      <c r="K76" s="34"/>
      <c r="L76" s="34" t="s">
        <v>1490</v>
      </c>
      <c r="M76" s="5">
        <v>1.29</v>
      </c>
      <c r="N76" s="5"/>
      <c r="O76" s="34"/>
      <c r="P76" s="251" t="s">
        <v>1484</v>
      </c>
      <c r="Q76" s="252" t="s">
        <v>87</v>
      </c>
      <c r="R76" s="252" t="s">
        <v>502</v>
      </c>
      <c r="S76" s="251" t="s">
        <v>1485</v>
      </c>
      <c r="T76" s="251" t="s">
        <v>1486</v>
      </c>
      <c r="U76" s="251" t="s">
        <v>13</v>
      </c>
      <c r="V76" s="286" t="s">
        <v>1487</v>
      </c>
      <c r="W76" s="286"/>
      <c r="X76" s="286"/>
      <c r="Y76" s="286"/>
      <c r="Z76" s="286"/>
      <c r="AA76" s="286"/>
      <c r="AB76" s="286"/>
      <c r="AC76" s="286"/>
      <c r="AD76" s="286"/>
      <c r="AE76" s="286"/>
      <c r="AF76" s="286"/>
      <c r="AG76" s="286"/>
      <c r="AH76" s="286"/>
      <c r="AI76" s="286"/>
      <c r="AJ76" s="286"/>
      <c r="AK76" s="286"/>
      <c r="AL76" s="286"/>
      <c r="AM76" s="286"/>
      <c r="AN76" s="286"/>
      <c r="AO76" s="286"/>
      <c r="AP76" s="286"/>
    </row>
    <row r="77" spans="1:64" x14ac:dyDescent="0.35">
      <c r="A77" s="2"/>
      <c r="B77" s="2" t="s">
        <v>653</v>
      </c>
      <c r="C77" s="2" t="s">
        <v>673</v>
      </c>
      <c r="D77" s="2" t="s">
        <v>686</v>
      </c>
      <c r="E77" s="2" t="s">
        <v>675</v>
      </c>
      <c r="F77" s="2" t="s">
        <v>407</v>
      </c>
      <c r="G77" s="2"/>
      <c r="H77" s="34"/>
      <c r="I77" s="5"/>
      <c r="J77" s="5"/>
      <c r="K77" s="34"/>
      <c r="L77" s="34"/>
      <c r="M77" s="5">
        <v>1.46</v>
      </c>
      <c r="N77" s="5">
        <v>9.6000000000000002E-2</v>
      </c>
      <c r="O77" s="34">
        <v>3</v>
      </c>
      <c r="P77" s="2" t="s">
        <v>682</v>
      </c>
      <c r="Q77" s="39" t="s">
        <v>233</v>
      </c>
      <c r="R77" s="2" t="s">
        <v>4</v>
      </c>
      <c r="S77" s="2" t="s">
        <v>683</v>
      </c>
      <c r="T77" s="2" t="s">
        <v>682</v>
      </c>
      <c r="U77" s="2" t="s">
        <v>1215</v>
      </c>
      <c r="V77" s="44" t="s">
        <v>681</v>
      </c>
      <c r="W77" s="2"/>
    </row>
    <row r="78" spans="1:64" s="2" customFormat="1" ht="14" x14ac:dyDescent="0.3">
      <c r="B78" s="2" t="s">
        <v>653</v>
      </c>
      <c r="C78" s="2" t="s">
        <v>673</v>
      </c>
      <c r="D78" s="2" t="s">
        <v>571</v>
      </c>
      <c r="E78" s="2" t="s">
        <v>675</v>
      </c>
      <c r="F78" s="2" t="s">
        <v>387</v>
      </c>
      <c r="G78" s="2" t="s">
        <v>1052</v>
      </c>
      <c r="H78" s="34"/>
      <c r="I78" s="5">
        <f>AVERAGE(0.6336,0.924)</f>
        <v>0.77880000000000005</v>
      </c>
      <c r="J78" s="5">
        <f>STDEV(0.6336,0.924)/SQRT(2)</f>
        <v>0.14519999999999977</v>
      </c>
      <c r="K78" s="34">
        <v>6</v>
      </c>
      <c r="L78" s="34"/>
      <c r="M78" s="5"/>
      <c r="N78" s="5"/>
      <c r="O78" s="34"/>
      <c r="P78" s="2" t="s">
        <v>74</v>
      </c>
      <c r="Q78" s="39" t="s">
        <v>1047</v>
      </c>
      <c r="R78" s="2" t="s">
        <v>382</v>
      </c>
      <c r="S78" s="2" t="s">
        <v>386</v>
      </c>
      <c r="T78" s="2" t="s">
        <v>385</v>
      </c>
      <c r="U78" s="2" t="s">
        <v>126</v>
      </c>
      <c r="V78" s="44" t="s">
        <v>384</v>
      </c>
    </row>
    <row r="79" spans="1:64" x14ac:dyDescent="0.35">
      <c r="A79" s="2"/>
      <c r="B79" s="2" t="s">
        <v>653</v>
      </c>
      <c r="C79" s="2" t="s">
        <v>673</v>
      </c>
      <c r="D79" s="2" t="s">
        <v>684</v>
      </c>
      <c r="E79" s="2" t="s">
        <v>675</v>
      </c>
      <c r="F79" s="2" t="s">
        <v>19</v>
      </c>
      <c r="G79" s="2" t="s">
        <v>1035</v>
      </c>
      <c r="H79" s="34" t="s">
        <v>685</v>
      </c>
      <c r="I79" s="5">
        <v>4.33</v>
      </c>
      <c r="J79" s="5">
        <v>0.28999999999999998</v>
      </c>
      <c r="K79" s="34">
        <v>69</v>
      </c>
      <c r="L79" s="34"/>
      <c r="M79" s="5"/>
      <c r="N79" s="5"/>
      <c r="O79" s="34"/>
      <c r="P79" s="2" t="s">
        <v>283</v>
      </c>
      <c r="Q79" s="39" t="s">
        <v>282</v>
      </c>
      <c r="R79" s="2" t="s">
        <v>26</v>
      </c>
      <c r="S79" s="2" t="s">
        <v>281</v>
      </c>
      <c r="T79" s="2"/>
      <c r="U79" s="2" t="s">
        <v>24</v>
      </c>
      <c r="V79" s="44" t="s">
        <v>280</v>
      </c>
      <c r="W79" s="2"/>
    </row>
    <row r="80" spans="1:64" x14ac:dyDescent="0.35">
      <c r="A80" s="2"/>
      <c r="B80" s="2" t="s">
        <v>653</v>
      </c>
      <c r="C80" s="2" t="s">
        <v>673</v>
      </c>
      <c r="D80" s="2" t="s">
        <v>684</v>
      </c>
      <c r="E80" s="2" t="s">
        <v>675</v>
      </c>
      <c r="F80" s="2" t="s">
        <v>1034</v>
      </c>
      <c r="G80" s="2" t="s">
        <v>1036</v>
      </c>
      <c r="H80" s="34"/>
      <c r="I80" s="5">
        <f>9.93/2</f>
        <v>4.9649999999999999</v>
      </c>
      <c r="J80" s="5">
        <f>0.52/2</f>
        <v>0.26</v>
      </c>
      <c r="K80" s="34">
        <v>41</v>
      </c>
      <c r="L80" s="34"/>
      <c r="M80" s="5"/>
      <c r="N80" s="5"/>
      <c r="O80" s="34"/>
      <c r="P80" s="2" t="s">
        <v>88</v>
      </c>
      <c r="Q80" s="39" t="s">
        <v>77</v>
      </c>
      <c r="R80" s="2" t="s">
        <v>66</v>
      </c>
      <c r="S80" s="2" t="s">
        <v>396</v>
      </c>
      <c r="T80" s="2"/>
      <c r="U80" s="2" t="s">
        <v>37</v>
      </c>
      <c r="V80" s="44" t="s">
        <v>395</v>
      </c>
      <c r="W80" s="2"/>
    </row>
    <row r="81" spans="1:64" x14ac:dyDescent="0.35">
      <c r="A81" s="2"/>
      <c r="B81" s="2" t="s">
        <v>653</v>
      </c>
      <c r="C81" s="2" t="s">
        <v>673</v>
      </c>
      <c r="D81" s="2" t="s">
        <v>733</v>
      </c>
      <c r="E81" s="49" t="s">
        <v>675</v>
      </c>
      <c r="F81" s="2" t="s">
        <v>19</v>
      </c>
      <c r="G81" s="2" t="s">
        <v>1039</v>
      </c>
      <c r="H81" s="34"/>
      <c r="I81" s="48">
        <f>0.83*3</f>
        <v>2.4899999999999998</v>
      </c>
      <c r="J81" s="5">
        <f>0.06*3</f>
        <v>0.18</v>
      </c>
      <c r="K81" s="34">
        <v>15</v>
      </c>
      <c r="L81" s="34"/>
      <c r="M81" s="5"/>
      <c r="N81" s="5"/>
      <c r="O81" s="34"/>
      <c r="P81" s="2" t="s">
        <v>52</v>
      </c>
      <c r="Q81" s="39" t="s">
        <v>383</v>
      </c>
      <c r="R81" s="2" t="s">
        <v>382</v>
      </c>
      <c r="S81" s="2" t="s">
        <v>381</v>
      </c>
      <c r="T81" s="2" t="s">
        <v>52</v>
      </c>
      <c r="U81" s="2" t="s">
        <v>126</v>
      </c>
      <c r="V81" s="44" t="s">
        <v>380</v>
      </c>
      <c r="W81" s="2"/>
    </row>
    <row r="82" spans="1:64" x14ac:dyDescent="0.35">
      <c r="A82" s="2"/>
      <c r="B82" s="2" t="s">
        <v>653</v>
      </c>
      <c r="C82" s="2" t="s">
        <v>673</v>
      </c>
      <c r="D82" s="2" t="s">
        <v>680</v>
      </c>
      <c r="E82" s="2" t="s">
        <v>675</v>
      </c>
      <c r="F82" s="2" t="s">
        <v>407</v>
      </c>
      <c r="G82" s="2"/>
      <c r="H82" s="34"/>
      <c r="I82" s="5"/>
      <c r="J82" s="5"/>
      <c r="K82" s="34"/>
      <c r="L82" s="34"/>
      <c r="M82" s="5">
        <v>1.45</v>
      </c>
      <c r="N82" s="5">
        <v>9.6000000000000002E-2</v>
      </c>
      <c r="O82" s="34">
        <v>6</v>
      </c>
      <c r="P82" s="2" t="s">
        <v>682</v>
      </c>
      <c r="Q82" s="39" t="s">
        <v>233</v>
      </c>
      <c r="R82" s="2" t="s">
        <v>4</v>
      </c>
      <c r="S82" s="2" t="s">
        <v>683</v>
      </c>
      <c r="T82" s="2" t="s">
        <v>682</v>
      </c>
      <c r="U82" s="2" t="s">
        <v>1215</v>
      </c>
      <c r="V82" s="44" t="s">
        <v>681</v>
      </c>
      <c r="W82" s="2"/>
    </row>
    <row r="83" spans="1:64" s="2" customFormat="1" ht="14" x14ac:dyDescent="0.3">
      <c r="B83" s="2" t="s">
        <v>653</v>
      </c>
      <c r="C83" s="2" t="s">
        <v>673</v>
      </c>
      <c r="D83" s="2" t="s">
        <v>680</v>
      </c>
      <c r="E83" s="2" t="s">
        <v>675</v>
      </c>
      <c r="F83" s="2" t="s">
        <v>31</v>
      </c>
      <c r="G83" s="2" t="s">
        <v>54</v>
      </c>
      <c r="H83" s="34"/>
      <c r="I83" s="5">
        <v>1.67</v>
      </c>
      <c r="J83" s="5"/>
      <c r="K83" s="34">
        <v>1</v>
      </c>
      <c r="L83" s="34"/>
      <c r="M83" s="5"/>
      <c r="N83" s="5"/>
      <c r="O83" s="34"/>
      <c r="P83" s="2" t="s">
        <v>347</v>
      </c>
      <c r="Q83" s="39" t="s">
        <v>40</v>
      </c>
      <c r="R83" s="2" t="s">
        <v>4</v>
      </c>
      <c r="S83" s="2" t="s">
        <v>435</v>
      </c>
      <c r="T83" s="2" t="s">
        <v>353</v>
      </c>
      <c r="U83" s="2" t="s">
        <v>1</v>
      </c>
      <c r="V83" s="44" t="s">
        <v>352</v>
      </c>
    </row>
    <row r="84" spans="1:64" s="2" customFormat="1" ht="14" x14ac:dyDescent="0.3">
      <c r="B84" s="2" t="s">
        <v>653</v>
      </c>
      <c r="C84" s="2" t="s">
        <v>673</v>
      </c>
      <c r="D84" s="2" t="s">
        <v>679</v>
      </c>
      <c r="E84" s="2" t="s">
        <v>675</v>
      </c>
      <c r="F84" s="2" t="s">
        <v>409</v>
      </c>
      <c r="H84" s="34"/>
      <c r="I84" s="5">
        <v>10.42</v>
      </c>
      <c r="J84" s="5">
        <v>1.65</v>
      </c>
      <c r="K84" s="34">
        <v>4</v>
      </c>
      <c r="L84" s="34"/>
      <c r="M84" s="5"/>
      <c r="N84" s="5"/>
      <c r="O84" s="34"/>
      <c r="Q84" s="39" t="s">
        <v>40</v>
      </c>
      <c r="R84" s="2" t="s">
        <v>4</v>
      </c>
      <c r="S84" s="2" t="s">
        <v>509</v>
      </c>
      <c r="U84" s="2" t="s">
        <v>191</v>
      </c>
      <c r="V84" s="44" t="s">
        <v>1125</v>
      </c>
    </row>
    <row r="85" spans="1:64" s="2" customFormat="1" ht="14" x14ac:dyDescent="0.3">
      <c r="B85" s="2" t="s">
        <v>653</v>
      </c>
      <c r="C85" s="2" t="s">
        <v>673</v>
      </c>
      <c r="D85" s="2" t="s">
        <v>679</v>
      </c>
      <c r="E85" s="2" t="s">
        <v>675</v>
      </c>
      <c r="F85" s="2" t="s">
        <v>409</v>
      </c>
      <c r="H85" s="34"/>
      <c r="I85" s="5">
        <v>12.36</v>
      </c>
      <c r="J85" s="5">
        <v>1.41</v>
      </c>
      <c r="K85" s="34">
        <v>4</v>
      </c>
      <c r="L85" s="34"/>
      <c r="M85" s="5"/>
      <c r="N85" s="5"/>
      <c r="O85" s="34"/>
      <c r="Q85" s="39" t="s">
        <v>40</v>
      </c>
      <c r="R85" s="2" t="s">
        <v>4</v>
      </c>
      <c r="S85" s="2" t="s">
        <v>507</v>
      </c>
      <c r="U85" s="2" t="s">
        <v>191</v>
      </c>
      <c r="V85" s="44" t="s">
        <v>1125</v>
      </c>
    </row>
    <row r="86" spans="1:64" s="2" customFormat="1" ht="14" x14ac:dyDescent="0.3">
      <c r="B86" s="2" t="s">
        <v>653</v>
      </c>
      <c r="C86" s="2" t="s">
        <v>673</v>
      </c>
      <c r="D86" s="2" t="s">
        <v>679</v>
      </c>
      <c r="E86" s="2" t="s">
        <v>675</v>
      </c>
      <c r="F86" s="2" t="s">
        <v>409</v>
      </c>
      <c r="H86" s="34"/>
      <c r="I86" s="5">
        <v>10.52</v>
      </c>
      <c r="J86" s="5">
        <v>1.17</v>
      </c>
      <c r="K86" s="34">
        <v>3</v>
      </c>
      <c r="L86" s="34"/>
      <c r="M86" s="5"/>
      <c r="N86" s="5"/>
      <c r="O86" s="34"/>
      <c r="Q86" s="39" t="s">
        <v>40</v>
      </c>
      <c r="R86" s="2" t="s">
        <v>4</v>
      </c>
      <c r="S86" s="2" t="s">
        <v>678</v>
      </c>
      <c r="U86" s="2" t="s">
        <v>191</v>
      </c>
      <c r="V86" s="44" t="s">
        <v>1125</v>
      </c>
    </row>
    <row r="87" spans="1:64" s="2" customFormat="1" ht="14" x14ac:dyDescent="0.3">
      <c r="B87" s="2" t="s">
        <v>653</v>
      </c>
      <c r="C87" s="2" t="s">
        <v>673</v>
      </c>
      <c r="D87" s="2" t="s">
        <v>679</v>
      </c>
      <c r="E87" s="2" t="s">
        <v>675</v>
      </c>
      <c r="F87" s="2" t="s">
        <v>1699</v>
      </c>
      <c r="G87" s="2" t="s">
        <v>1701</v>
      </c>
      <c r="H87" s="34"/>
      <c r="I87" s="5">
        <v>7.9</v>
      </c>
      <c r="J87" s="5">
        <v>3.7</v>
      </c>
      <c r="K87" s="34">
        <v>13</v>
      </c>
      <c r="L87" s="34"/>
      <c r="M87" s="5"/>
      <c r="N87" s="5"/>
      <c r="O87" s="34"/>
      <c r="P87" s="2" t="s">
        <v>819</v>
      </c>
      <c r="Q87" s="39" t="s">
        <v>40</v>
      </c>
      <c r="R87" s="2" t="s">
        <v>4</v>
      </c>
      <c r="S87" s="2" t="s">
        <v>1700</v>
      </c>
      <c r="U87" s="2" t="s">
        <v>191</v>
      </c>
      <c r="V87" s="44" t="s">
        <v>1702</v>
      </c>
    </row>
    <row r="88" spans="1:64" s="7" customFormat="1" ht="14" x14ac:dyDescent="0.3">
      <c r="A88" s="7" t="s">
        <v>864</v>
      </c>
      <c r="C88" s="7" t="s">
        <v>673</v>
      </c>
      <c r="E88" s="7" t="s">
        <v>675</v>
      </c>
      <c r="H88" s="33"/>
      <c r="I88" s="8">
        <f>AVERAGE(I71:I87)</f>
        <v>6.6109857142857154</v>
      </c>
      <c r="J88" s="8">
        <f>STDEV(I71:I87)/SQRT(COUNT(I71:I87))</f>
        <v>1.0482502554286734</v>
      </c>
      <c r="K88" s="33"/>
      <c r="L88" s="33"/>
      <c r="M88" s="8">
        <f>AVERAGE(M71:M87)</f>
        <v>1.4000000000000001</v>
      </c>
      <c r="N88" s="8">
        <f>STDEV(M71:M87)/SQRT(COUNT(M71:M87))</f>
        <v>5.5075705472861003E-2</v>
      </c>
      <c r="O88" s="33"/>
      <c r="Q88" s="38"/>
      <c r="V88" s="13"/>
    </row>
    <row r="89" spans="1:64" x14ac:dyDescent="0.35">
      <c r="A89" s="2"/>
      <c r="B89" s="2" t="s">
        <v>1726</v>
      </c>
      <c r="C89" s="2" t="s">
        <v>559</v>
      </c>
      <c r="D89" s="2" t="s">
        <v>807</v>
      </c>
      <c r="E89" s="2" t="s">
        <v>20</v>
      </c>
      <c r="F89" s="2" t="s">
        <v>1763</v>
      </c>
      <c r="G89" s="2" t="s">
        <v>1792</v>
      </c>
      <c r="H89" s="34"/>
      <c r="I89" s="235">
        <v>0.37970084451901565</v>
      </c>
      <c r="J89" s="5">
        <v>0.25427914986753186</v>
      </c>
      <c r="K89" s="34">
        <v>2</v>
      </c>
      <c r="L89" s="34"/>
      <c r="M89" s="5"/>
      <c r="N89" s="5"/>
      <c r="O89" s="34"/>
      <c r="P89" s="2" t="s">
        <v>798</v>
      </c>
      <c r="Q89" s="42" t="s">
        <v>1139</v>
      </c>
      <c r="R89" s="2" t="s">
        <v>1765</v>
      </c>
      <c r="S89" s="2" t="s">
        <v>1766</v>
      </c>
      <c r="T89" s="2"/>
      <c r="U89" s="2" t="s">
        <v>24</v>
      </c>
      <c r="V89" s="44" t="s">
        <v>1790</v>
      </c>
      <c r="W89" s="2"/>
    </row>
    <row r="90" spans="1:64" x14ac:dyDescent="0.35">
      <c r="A90" s="2"/>
      <c r="B90" s="2" t="s">
        <v>1726</v>
      </c>
      <c r="C90" s="2" t="s">
        <v>559</v>
      </c>
      <c r="D90" s="2" t="s">
        <v>807</v>
      </c>
      <c r="E90" s="2" t="s">
        <v>20</v>
      </c>
      <c r="F90" s="2" t="s">
        <v>1763</v>
      </c>
      <c r="G90" s="2" t="s">
        <v>1701</v>
      </c>
      <c r="H90" s="34"/>
      <c r="I90" s="5">
        <v>1.2558853859060402</v>
      </c>
      <c r="J90" s="5">
        <v>9.612355008094349E-2</v>
      </c>
      <c r="K90" s="34">
        <v>2</v>
      </c>
      <c r="L90" s="34"/>
      <c r="M90" s="5"/>
      <c r="N90" s="5"/>
      <c r="O90" s="34"/>
      <c r="P90" s="2" t="s">
        <v>798</v>
      </c>
      <c r="Q90" s="42" t="s">
        <v>1139</v>
      </c>
      <c r="R90" s="2" t="s">
        <v>1765</v>
      </c>
      <c r="S90" s="2" t="s">
        <v>1766</v>
      </c>
      <c r="T90" s="2"/>
      <c r="U90" s="2" t="s">
        <v>24</v>
      </c>
      <c r="V90" s="44" t="s">
        <v>1790</v>
      </c>
      <c r="W90" s="2"/>
    </row>
    <row r="91" spans="1:64" s="12" customFormat="1" x14ac:dyDescent="0.35">
      <c r="A91" s="7" t="s">
        <v>871</v>
      </c>
      <c r="B91" s="7"/>
      <c r="C91" s="7" t="s">
        <v>559</v>
      </c>
      <c r="D91" s="7"/>
      <c r="E91" s="7" t="s">
        <v>20</v>
      </c>
      <c r="F91" s="7"/>
      <c r="G91" s="7"/>
      <c r="H91" s="33"/>
      <c r="I91" s="8">
        <f>AVERAGE(I90)</f>
        <v>1.2558853859060402</v>
      </c>
      <c r="J91" s="8">
        <f>J90/SQRT(2)</f>
        <v>6.7969614093959851E-2</v>
      </c>
      <c r="K91" s="33"/>
      <c r="L91" s="33"/>
      <c r="M91" s="8"/>
      <c r="N91" s="8"/>
      <c r="O91" s="33"/>
      <c r="P91" s="7"/>
      <c r="Q91" s="38"/>
      <c r="R91" s="7"/>
      <c r="S91" s="7"/>
      <c r="T91" s="7"/>
      <c r="U91" s="7"/>
      <c r="V91" s="13"/>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1:64" x14ac:dyDescent="0.35">
      <c r="A92" s="2"/>
      <c r="B92" s="2" t="s">
        <v>1726</v>
      </c>
      <c r="C92" s="3" t="s">
        <v>561</v>
      </c>
      <c r="D92" s="3" t="s">
        <v>560</v>
      </c>
      <c r="E92" s="3" t="s">
        <v>82</v>
      </c>
      <c r="F92" s="3" t="s">
        <v>31</v>
      </c>
      <c r="G92" s="3" t="s">
        <v>54</v>
      </c>
      <c r="I92" s="4">
        <v>0.25</v>
      </c>
      <c r="J92" s="4">
        <v>3.2000000000000001E-2</v>
      </c>
      <c r="K92" s="32">
        <v>3</v>
      </c>
      <c r="P92" s="3" t="s">
        <v>347</v>
      </c>
      <c r="Q92" s="26" t="s">
        <v>40</v>
      </c>
      <c r="R92" s="3" t="s">
        <v>4</v>
      </c>
      <c r="S92" s="3" t="s">
        <v>354</v>
      </c>
      <c r="T92" s="3" t="s">
        <v>353</v>
      </c>
      <c r="U92" s="3" t="s">
        <v>1</v>
      </c>
      <c r="V92" s="10" t="s">
        <v>352</v>
      </c>
    </row>
    <row r="93" spans="1:64" x14ac:dyDescent="0.35">
      <c r="A93" s="2"/>
      <c r="B93" s="2" t="s">
        <v>1726</v>
      </c>
      <c r="C93" s="3" t="s">
        <v>561</v>
      </c>
      <c r="D93" s="3" t="s">
        <v>560</v>
      </c>
      <c r="E93" s="3" t="s">
        <v>82</v>
      </c>
      <c r="F93" s="3" t="s">
        <v>59</v>
      </c>
      <c r="G93" s="3" t="s">
        <v>54</v>
      </c>
      <c r="I93" s="4">
        <v>0.27</v>
      </c>
      <c r="J93" s="4">
        <v>4.3999999999999997E-2</v>
      </c>
      <c r="K93" s="32">
        <v>3</v>
      </c>
      <c r="P93" s="3" t="s">
        <v>347</v>
      </c>
      <c r="Q93" s="26" t="s">
        <v>40</v>
      </c>
      <c r="R93" s="3" t="s">
        <v>4</v>
      </c>
      <c r="S93" s="3" t="s">
        <v>354</v>
      </c>
      <c r="T93" s="3" t="s">
        <v>353</v>
      </c>
      <c r="U93" s="3" t="s">
        <v>1</v>
      </c>
      <c r="V93" s="10" t="s">
        <v>352</v>
      </c>
    </row>
    <row r="94" spans="1:64" s="12" customFormat="1" x14ac:dyDescent="0.35">
      <c r="A94" s="7" t="s">
        <v>872</v>
      </c>
      <c r="B94" s="7"/>
      <c r="C94" s="7" t="s">
        <v>559</v>
      </c>
      <c r="D94" s="7"/>
      <c r="E94" s="7" t="s">
        <v>82</v>
      </c>
      <c r="F94" s="7"/>
      <c r="G94" s="7"/>
      <c r="H94" s="33"/>
      <c r="I94" s="8">
        <f>AVERAGE(I92:I93)</f>
        <v>0.26</v>
      </c>
      <c r="J94" s="8">
        <f>STDEV(I92:I93)/SQRT(COUNT(I92:I93))</f>
        <v>1.0000000000000009E-2</v>
      </c>
      <c r="K94" s="33"/>
      <c r="L94" s="33"/>
      <c r="M94" s="8"/>
      <c r="N94" s="8"/>
      <c r="O94" s="33"/>
      <c r="P94" s="7"/>
      <c r="Q94" s="38"/>
      <c r="R94" s="7"/>
      <c r="S94" s="7"/>
      <c r="T94" s="7"/>
      <c r="U94" s="7"/>
      <c r="V94" s="13"/>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row>
    <row r="95" spans="1:64" s="2" customFormat="1" ht="14" x14ac:dyDescent="0.3">
      <c r="B95" s="2" t="s">
        <v>653</v>
      </c>
      <c r="C95" s="2" t="s">
        <v>670</v>
      </c>
      <c r="D95" s="2" t="s">
        <v>672</v>
      </c>
      <c r="E95" s="2" t="s">
        <v>82</v>
      </c>
      <c r="F95" s="2" t="s">
        <v>671</v>
      </c>
      <c r="H95" s="88" t="s">
        <v>1053</v>
      </c>
      <c r="I95" s="5">
        <v>0.85833333333333339</v>
      </c>
      <c r="J95" s="5">
        <v>0.39869579046352277</v>
      </c>
      <c r="K95" s="34">
        <v>3</v>
      </c>
      <c r="L95" s="34"/>
      <c r="M95" s="5"/>
      <c r="N95" s="5"/>
      <c r="O95" s="34"/>
      <c r="P95" s="11" t="s">
        <v>74</v>
      </c>
      <c r="Q95" s="39" t="s">
        <v>73</v>
      </c>
      <c r="R95" s="2" t="s">
        <v>66</v>
      </c>
      <c r="S95" s="2" t="s">
        <v>65</v>
      </c>
      <c r="U95" s="2" t="s">
        <v>37</v>
      </c>
      <c r="V95" s="44" t="s">
        <v>72</v>
      </c>
    </row>
    <row r="96" spans="1:64" s="2" customFormat="1" ht="14" x14ac:dyDescent="0.3">
      <c r="B96" s="2" t="s">
        <v>653</v>
      </c>
      <c r="C96" s="2" t="s">
        <v>670</v>
      </c>
      <c r="D96" s="2" t="s">
        <v>672</v>
      </c>
      <c r="E96" s="2" t="s">
        <v>82</v>
      </c>
      <c r="F96" s="2" t="s">
        <v>1483</v>
      </c>
      <c r="H96" s="88"/>
      <c r="I96" s="5"/>
      <c r="J96" s="5"/>
      <c r="K96" s="34"/>
      <c r="L96" s="34" t="s">
        <v>1492</v>
      </c>
      <c r="M96" s="5">
        <v>0.83</v>
      </c>
      <c r="N96" s="5"/>
      <c r="O96" s="34"/>
      <c r="P96" s="251" t="s">
        <v>1484</v>
      </c>
      <c r="Q96" s="252" t="s">
        <v>87</v>
      </c>
      <c r="R96" s="252" t="s">
        <v>502</v>
      </c>
      <c r="S96" s="251" t="s">
        <v>1485</v>
      </c>
      <c r="T96" s="251" t="s">
        <v>1486</v>
      </c>
      <c r="U96" s="251" t="s">
        <v>13</v>
      </c>
      <c r="V96" s="286" t="s">
        <v>1487</v>
      </c>
      <c r="W96" s="286"/>
      <c r="X96" s="286"/>
      <c r="Y96" s="286"/>
      <c r="Z96" s="286"/>
      <c r="AA96" s="286"/>
      <c r="AB96" s="286"/>
      <c r="AC96" s="286"/>
      <c r="AD96" s="286"/>
      <c r="AE96" s="286"/>
      <c r="AF96" s="286"/>
      <c r="AG96" s="286"/>
      <c r="AH96" s="286"/>
      <c r="AI96" s="286"/>
      <c r="AJ96" s="286"/>
      <c r="AK96" s="286"/>
      <c r="AL96" s="286"/>
      <c r="AM96" s="286"/>
      <c r="AN96" s="286"/>
      <c r="AO96" s="286"/>
      <c r="AP96" s="286"/>
    </row>
    <row r="97" spans="1:42" x14ac:dyDescent="0.35">
      <c r="A97" s="2"/>
      <c r="B97" s="2" t="s">
        <v>653</v>
      </c>
      <c r="C97" s="2" t="s">
        <v>670</v>
      </c>
      <c r="D97" s="2" t="s">
        <v>90</v>
      </c>
      <c r="E97" s="2" t="s">
        <v>82</v>
      </c>
      <c r="F97" s="2" t="s">
        <v>1763</v>
      </c>
      <c r="G97" s="2"/>
      <c r="H97" s="34" t="s">
        <v>1769</v>
      </c>
      <c r="I97" s="5">
        <v>0.45057995354886665</v>
      </c>
      <c r="J97" s="5">
        <v>0.18491879105286896</v>
      </c>
      <c r="K97" s="34"/>
      <c r="L97" s="34"/>
      <c r="M97" s="5"/>
      <c r="N97" s="5"/>
      <c r="O97" s="34">
        <v>3</v>
      </c>
      <c r="P97" s="2" t="s">
        <v>798</v>
      </c>
      <c r="Q97" s="42" t="s">
        <v>1139</v>
      </c>
      <c r="R97" s="2" t="s">
        <v>1765</v>
      </c>
      <c r="S97" s="2" t="s">
        <v>1766</v>
      </c>
      <c r="T97" s="2"/>
      <c r="U97" s="2" t="s">
        <v>24</v>
      </c>
      <c r="V97" s="44" t="s">
        <v>1767</v>
      </c>
      <c r="W97" s="2"/>
    </row>
    <row r="98" spans="1:42" s="2" customFormat="1" ht="14" x14ac:dyDescent="0.3">
      <c r="B98" s="2" t="s">
        <v>653</v>
      </c>
      <c r="C98" s="2" t="s">
        <v>670</v>
      </c>
      <c r="D98" s="2" t="s">
        <v>90</v>
      </c>
      <c r="E98" s="2" t="s">
        <v>82</v>
      </c>
      <c r="F98" s="2" t="s">
        <v>122</v>
      </c>
      <c r="H98" s="34"/>
      <c r="I98" s="5">
        <v>1.2</v>
      </c>
      <c r="J98" s="5"/>
      <c r="K98" s="34">
        <v>1</v>
      </c>
      <c r="L98" s="34"/>
      <c r="M98" s="5">
        <v>1.48</v>
      </c>
      <c r="N98" s="5"/>
      <c r="O98" s="34">
        <v>1</v>
      </c>
      <c r="P98" s="2" t="s">
        <v>120</v>
      </c>
      <c r="Q98" s="39" t="s">
        <v>639</v>
      </c>
      <c r="R98" s="2" t="s">
        <v>15</v>
      </c>
      <c r="S98" s="2" t="s">
        <v>118</v>
      </c>
      <c r="U98" s="2" t="s">
        <v>13</v>
      </c>
      <c r="V98" s="44" t="s">
        <v>117</v>
      </c>
    </row>
    <row r="99" spans="1:42" s="7" customFormat="1" ht="14" x14ac:dyDescent="0.3">
      <c r="A99" s="7" t="s">
        <v>870</v>
      </c>
      <c r="C99" s="7" t="s">
        <v>670</v>
      </c>
      <c r="E99" s="7" t="s">
        <v>82</v>
      </c>
      <c r="H99" s="33"/>
      <c r="I99" s="8">
        <f>AVERAGE(I95:I98)</f>
        <v>0.83630442896073331</v>
      </c>
      <c r="J99" s="8">
        <f>STDEV(I95:I98)/SQRT(COUNT(I95:I98))</f>
        <v>0.21661914041053548</v>
      </c>
      <c r="K99" s="33"/>
      <c r="L99" s="33"/>
      <c r="M99" s="8">
        <f>AVERAGE(M95:M98)</f>
        <v>1.155</v>
      </c>
      <c r="N99" s="8">
        <f>STDEV(M95:M98)/SQRT(COUNT(M95:M98))</f>
        <v>0.32499999999999979</v>
      </c>
      <c r="O99" s="33"/>
      <c r="Q99" s="38"/>
      <c r="V99" s="13"/>
    </row>
    <row r="100" spans="1:42" s="2" customFormat="1" ht="14" x14ac:dyDescent="0.3">
      <c r="B100" s="2" t="s">
        <v>461</v>
      </c>
      <c r="C100" s="2" t="s">
        <v>1493</v>
      </c>
      <c r="D100" s="2" t="s">
        <v>1494</v>
      </c>
      <c r="E100" s="2" t="s">
        <v>1732</v>
      </c>
      <c r="F100" s="2" t="s">
        <v>1495</v>
      </c>
      <c r="H100" s="34"/>
      <c r="I100" s="5"/>
      <c r="J100" s="5"/>
      <c r="K100" s="34"/>
      <c r="L100" s="34" t="s">
        <v>1496</v>
      </c>
      <c r="M100" s="5">
        <v>1.1100000000000001</v>
      </c>
      <c r="N100" s="5"/>
      <c r="O100" s="34"/>
      <c r="P100" s="251" t="s">
        <v>1484</v>
      </c>
      <c r="Q100" s="252" t="s">
        <v>87</v>
      </c>
      <c r="R100" s="252" t="s">
        <v>502</v>
      </c>
      <c r="S100" s="251" t="s">
        <v>1485</v>
      </c>
      <c r="T100" s="251" t="s">
        <v>1486</v>
      </c>
      <c r="U100" s="251" t="s">
        <v>13</v>
      </c>
      <c r="V100" s="286" t="s">
        <v>1487</v>
      </c>
      <c r="W100" s="286"/>
      <c r="X100" s="286"/>
      <c r="Y100" s="286"/>
      <c r="Z100" s="286"/>
      <c r="AA100" s="286"/>
      <c r="AB100" s="286"/>
      <c r="AC100" s="286"/>
      <c r="AD100" s="286"/>
      <c r="AE100" s="286"/>
      <c r="AF100" s="286"/>
      <c r="AG100" s="286"/>
      <c r="AH100" s="286"/>
      <c r="AI100" s="286"/>
      <c r="AJ100" s="286"/>
      <c r="AK100" s="286"/>
      <c r="AL100" s="286"/>
      <c r="AM100" s="286"/>
      <c r="AN100" s="286"/>
      <c r="AO100" s="286"/>
      <c r="AP100" s="286"/>
    </row>
    <row r="101" spans="1:42" s="7" customFormat="1" ht="14" x14ac:dyDescent="0.3">
      <c r="A101" s="7" t="s">
        <v>875</v>
      </c>
      <c r="C101" s="7" t="s">
        <v>1493</v>
      </c>
      <c r="E101" s="7" t="s">
        <v>82</v>
      </c>
      <c r="H101" s="33"/>
      <c r="I101" s="8"/>
      <c r="J101" s="8"/>
      <c r="K101" s="33"/>
      <c r="L101" s="33"/>
      <c r="M101" s="8">
        <f>AVERAGE(M100)</f>
        <v>1.1100000000000001</v>
      </c>
      <c r="N101" s="8">
        <f>(1.18-M101)/2</f>
        <v>3.499999999999992E-2</v>
      </c>
      <c r="O101" s="33"/>
      <c r="Q101" s="38"/>
      <c r="V101" s="13"/>
    </row>
    <row r="102" spans="1:42" s="2" customFormat="1" ht="14" x14ac:dyDescent="0.3">
      <c r="B102" s="2" t="s">
        <v>461</v>
      </c>
      <c r="C102" s="2" t="s">
        <v>1497</v>
      </c>
      <c r="D102" s="2" t="s">
        <v>535</v>
      </c>
      <c r="E102" s="2" t="s">
        <v>82</v>
      </c>
      <c r="F102" s="2" t="s">
        <v>1498</v>
      </c>
      <c r="H102" s="34"/>
      <c r="I102" s="5"/>
      <c r="J102" s="5"/>
      <c r="K102" s="34"/>
      <c r="L102" s="34"/>
      <c r="M102" s="5">
        <v>1.35</v>
      </c>
      <c r="N102" s="5"/>
      <c r="O102" s="34"/>
      <c r="P102" s="251" t="s">
        <v>1484</v>
      </c>
      <c r="Q102" s="252" t="s">
        <v>87</v>
      </c>
      <c r="R102" s="252" t="s">
        <v>502</v>
      </c>
      <c r="S102" s="251" t="s">
        <v>1485</v>
      </c>
      <c r="T102" s="251" t="s">
        <v>1486</v>
      </c>
      <c r="U102" s="251" t="s">
        <v>13</v>
      </c>
      <c r="V102" s="286" t="s">
        <v>1487</v>
      </c>
      <c r="W102" s="286"/>
      <c r="X102" s="286"/>
      <c r="Y102" s="286"/>
      <c r="Z102" s="286"/>
      <c r="AA102" s="286"/>
      <c r="AB102" s="286"/>
      <c r="AC102" s="286"/>
      <c r="AD102" s="286"/>
      <c r="AE102" s="286"/>
      <c r="AF102" s="286"/>
      <c r="AG102" s="286"/>
      <c r="AH102" s="286"/>
      <c r="AI102" s="286"/>
      <c r="AJ102" s="286"/>
      <c r="AK102" s="286"/>
      <c r="AL102" s="286"/>
      <c r="AM102" s="286"/>
      <c r="AN102" s="286"/>
      <c r="AO102" s="286"/>
      <c r="AP102" s="286"/>
    </row>
    <row r="103" spans="1:42" s="7" customFormat="1" ht="14" x14ac:dyDescent="0.3">
      <c r="A103" s="7" t="s">
        <v>1634</v>
      </c>
      <c r="C103" s="7" t="s">
        <v>1497</v>
      </c>
      <c r="E103" s="7" t="s">
        <v>82</v>
      </c>
      <c r="H103" s="33"/>
      <c r="I103" s="8"/>
      <c r="J103" s="8"/>
      <c r="K103" s="33"/>
      <c r="L103" s="33"/>
      <c r="M103" s="8">
        <f>AVERAGE(M102)</f>
        <v>1.35</v>
      </c>
      <c r="N103" s="8"/>
      <c r="O103" s="33"/>
      <c r="Q103" s="38"/>
      <c r="V103" s="13"/>
    </row>
    <row r="104" spans="1:42" s="2" customFormat="1" ht="14" x14ac:dyDescent="0.3">
      <c r="B104" s="2" t="s">
        <v>1499</v>
      </c>
      <c r="C104" s="2" t="s">
        <v>877</v>
      </c>
      <c r="D104" s="2" t="s">
        <v>1500</v>
      </c>
      <c r="E104" s="2" t="s">
        <v>82</v>
      </c>
      <c r="F104" s="2" t="s">
        <v>1498</v>
      </c>
      <c r="H104" s="34"/>
      <c r="I104" s="5"/>
      <c r="J104" s="5"/>
      <c r="K104" s="34"/>
      <c r="L104" s="34" t="s">
        <v>1501</v>
      </c>
      <c r="M104" s="5">
        <v>1.41</v>
      </c>
      <c r="N104" s="5"/>
      <c r="O104" s="34"/>
      <c r="P104" s="251" t="s">
        <v>1484</v>
      </c>
      <c r="Q104" s="252" t="s">
        <v>87</v>
      </c>
      <c r="R104" s="252" t="s">
        <v>502</v>
      </c>
      <c r="S104" s="251" t="s">
        <v>1485</v>
      </c>
      <c r="T104" s="251" t="s">
        <v>1486</v>
      </c>
      <c r="U104" s="251" t="s">
        <v>13</v>
      </c>
      <c r="V104" s="286" t="s">
        <v>1487</v>
      </c>
      <c r="W104" s="286"/>
      <c r="X104" s="286"/>
      <c r="Y104" s="286"/>
      <c r="Z104" s="286"/>
      <c r="AA104" s="286"/>
      <c r="AB104" s="286"/>
      <c r="AC104" s="286"/>
      <c r="AD104" s="286"/>
      <c r="AE104" s="286"/>
      <c r="AF104" s="286"/>
      <c r="AG104" s="286"/>
      <c r="AH104" s="286"/>
      <c r="AI104" s="286"/>
      <c r="AJ104" s="286"/>
      <c r="AK104" s="286"/>
      <c r="AL104" s="286"/>
      <c r="AM104" s="286"/>
      <c r="AN104" s="286"/>
      <c r="AO104" s="286"/>
      <c r="AP104" s="286"/>
    </row>
    <row r="105" spans="1:42" s="7" customFormat="1" ht="14" x14ac:dyDescent="0.3">
      <c r="A105" s="7" t="s">
        <v>879</v>
      </c>
      <c r="B105" s="7" t="s">
        <v>1499</v>
      </c>
      <c r="E105" s="7" t="s">
        <v>82</v>
      </c>
      <c r="H105" s="33"/>
      <c r="I105" s="8"/>
      <c r="J105" s="8"/>
      <c r="K105" s="33"/>
      <c r="L105" s="33"/>
      <c r="M105" s="8">
        <f>AVERAGE(M104)</f>
        <v>1.41</v>
      </c>
      <c r="N105" s="8">
        <f>(1.49-M105)/2</f>
        <v>4.0000000000000036E-2</v>
      </c>
      <c r="O105" s="33"/>
      <c r="Q105" s="38"/>
      <c r="V105" s="13"/>
    </row>
    <row r="106" spans="1:42" s="2" customFormat="1" ht="14" x14ac:dyDescent="0.3">
      <c r="B106" s="2" t="s">
        <v>461</v>
      </c>
      <c r="C106" s="3" t="s">
        <v>552</v>
      </c>
      <c r="D106" s="3" t="s">
        <v>558</v>
      </c>
      <c r="E106" s="3" t="s">
        <v>557</v>
      </c>
      <c r="F106" s="3" t="s">
        <v>31</v>
      </c>
      <c r="G106" s="3" t="s">
        <v>556</v>
      </c>
      <c r="H106" s="32"/>
      <c r="I106" s="235">
        <v>0.41499999999999998</v>
      </c>
      <c r="J106" s="4">
        <v>3.3000000000000002E-2</v>
      </c>
      <c r="K106" s="32">
        <v>25</v>
      </c>
      <c r="L106" s="32"/>
      <c r="M106" s="4"/>
      <c r="N106" s="4"/>
      <c r="O106" s="32"/>
      <c r="P106" s="3" t="s">
        <v>68</v>
      </c>
      <c r="Q106" s="26" t="s">
        <v>40</v>
      </c>
      <c r="R106" s="3" t="s">
        <v>39</v>
      </c>
      <c r="S106" s="3" t="s">
        <v>555</v>
      </c>
      <c r="T106" s="3"/>
      <c r="U106" s="3" t="s">
        <v>37</v>
      </c>
      <c r="V106" s="10" t="s">
        <v>554</v>
      </c>
      <c r="W106" s="3"/>
    </row>
    <row r="107" spans="1:42" s="2" customFormat="1" ht="14" x14ac:dyDescent="0.3">
      <c r="B107" s="2" t="s">
        <v>461</v>
      </c>
      <c r="C107" s="3" t="s">
        <v>552</v>
      </c>
      <c r="D107" s="3" t="s">
        <v>558</v>
      </c>
      <c r="E107" s="3" t="s">
        <v>557</v>
      </c>
      <c r="F107" s="3" t="s">
        <v>1791</v>
      </c>
      <c r="G107" s="3"/>
      <c r="H107" s="32"/>
      <c r="I107" s="235">
        <v>0.2</v>
      </c>
      <c r="J107" s="4"/>
      <c r="K107" s="32">
        <v>1</v>
      </c>
      <c r="L107" s="32"/>
      <c r="M107" s="4"/>
      <c r="N107" s="4"/>
      <c r="O107" s="32"/>
      <c r="P107" s="3" t="s">
        <v>41</v>
      </c>
      <c r="Q107" s="26" t="s">
        <v>40</v>
      </c>
      <c r="R107" s="3" t="s">
        <v>39</v>
      </c>
      <c r="S107" s="3" t="s">
        <v>38</v>
      </c>
      <c r="T107" s="3"/>
      <c r="U107" s="3" t="s">
        <v>37</v>
      </c>
      <c r="V107" s="10" t="s">
        <v>36</v>
      </c>
      <c r="W107" s="3"/>
    </row>
    <row r="108" spans="1:42" x14ac:dyDescent="0.35">
      <c r="A108" s="2"/>
      <c r="B108" s="2" t="s">
        <v>1726</v>
      </c>
      <c r="C108" s="2" t="s">
        <v>552</v>
      </c>
      <c r="D108" s="2" t="s">
        <v>807</v>
      </c>
      <c r="E108" s="2" t="s">
        <v>20</v>
      </c>
      <c r="F108" s="2" t="s">
        <v>1763</v>
      </c>
      <c r="G108" s="2" t="s">
        <v>1792</v>
      </c>
      <c r="H108" s="34"/>
      <c r="I108" s="235">
        <v>0.18703187919463088</v>
      </c>
      <c r="J108" s="5"/>
      <c r="K108" s="34">
        <v>1</v>
      </c>
      <c r="L108" s="34"/>
      <c r="M108" s="5"/>
      <c r="N108" s="5"/>
      <c r="O108" s="34"/>
      <c r="P108" s="2" t="s">
        <v>798</v>
      </c>
      <c r="Q108" s="42" t="s">
        <v>1139</v>
      </c>
      <c r="R108" s="2" t="s">
        <v>1765</v>
      </c>
      <c r="S108" s="2" t="s">
        <v>1766</v>
      </c>
      <c r="T108" s="2"/>
      <c r="U108" s="2" t="s">
        <v>24</v>
      </c>
      <c r="V108" s="44" t="s">
        <v>1790</v>
      </c>
      <c r="W108" s="2"/>
    </row>
    <row r="109" spans="1:42" x14ac:dyDescent="0.35">
      <c r="A109" s="2"/>
      <c r="B109" s="2" t="s">
        <v>1726</v>
      </c>
      <c r="C109" s="2" t="s">
        <v>552</v>
      </c>
      <c r="D109" s="2" t="s">
        <v>807</v>
      </c>
      <c r="E109" s="2" t="s">
        <v>20</v>
      </c>
      <c r="F109" s="2" t="s">
        <v>1763</v>
      </c>
      <c r="G109" s="2" t="s">
        <v>1701</v>
      </c>
      <c r="H109" s="34"/>
      <c r="I109" s="5">
        <v>1.4487437919463084</v>
      </c>
      <c r="J109" s="5"/>
      <c r="K109" s="34">
        <v>1</v>
      </c>
      <c r="L109" s="34"/>
      <c r="M109" s="5"/>
      <c r="N109" s="5"/>
      <c r="O109" s="34"/>
      <c r="P109" s="2" t="s">
        <v>798</v>
      </c>
      <c r="Q109" s="42" t="s">
        <v>1139</v>
      </c>
      <c r="R109" s="2" t="s">
        <v>1765</v>
      </c>
      <c r="S109" s="2" t="s">
        <v>1766</v>
      </c>
      <c r="T109" s="2"/>
      <c r="U109" s="2" t="s">
        <v>24</v>
      </c>
      <c r="V109" s="44" t="s">
        <v>1790</v>
      </c>
      <c r="W109" s="2"/>
    </row>
    <row r="110" spans="1:42" s="7" customFormat="1" ht="14" x14ac:dyDescent="0.3">
      <c r="A110" s="7" t="s">
        <v>886</v>
      </c>
      <c r="C110" s="7" t="s">
        <v>552</v>
      </c>
      <c r="E110" s="7" t="s">
        <v>557</v>
      </c>
      <c r="H110" s="33"/>
      <c r="I110" s="8">
        <f>AVERAGE(I109)</f>
        <v>1.4487437919463084</v>
      </c>
      <c r="J110" s="8">
        <f>J106/SQRT(K106)</f>
        <v>6.6E-3</v>
      </c>
      <c r="K110" s="33"/>
      <c r="L110" s="33"/>
      <c r="M110" s="8"/>
      <c r="N110" s="8"/>
      <c r="O110" s="33"/>
      <c r="Q110" s="38"/>
      <c r="V110" s="13"/>
    </row>
    <row r="111" spans="1:42" s="2" customFormat="1" ht="14" x14ac:dyDescent="0.3">
      <c r="B111" s="2" t="s">
        <v>461</v>
      </c>
      <c r="C111" s="2" t="s">
        <v>552</v>
      </c>
      <c r="D111" s="2" t="s">
        <v>1503</v>
      </c>
      <c r="E111" s="2" t="s">
        <v>82</v>
      </c>
      <c r="F111" s="2" t="s">
        <v>1483</v>
      </c>
      <c r="H111" s="34"/>
      <c r="I111" s="5"/>
      <c r="J111" s="5"/>
      <c r="K111" s="34"/>
      <c r="L111" s="255" t="s">
        <v>1504</v>
      </c>
      <c r="M111" s="256">
        <v>0.9300913420509288</v>
      </c>
      <c r="N111" s="5"/>
      <c r="O111" s="34"/>
      <c r="P111" s="251" t="s">
        <v>1484</v>
      </c>
      <c r="Q111" s="252" t="s">
        <v>87</v>
      </c>
      <c r="R111" s="252" t="s">
        <v>502</v>
      </c>
      <c r="S111" s="251" t="s">
        <v>1485</v>
      </c>
      <c r="T111" s="251" t="s">
        <v>1486</v>
      </c>
      <c r="U111" s="251" t="s">
        <v>13</v>
      </c>
      <c r="V111" s="286" t="s">
        <v>1487</v>
      </c>
      <c r="W111" s="286"/>
      <c r="X111" s="286"/>
      <c r="Y111" s="286"/>
      <c r="Z111" s="286"/>
      <c r="AA111" s="286"/>
      <c r="AB111" s="286"/>
      <c r="AC111" s="286"/>
      <c r="AD111" s="286"/>
      <c r="AE111" s="286"/>
      <c r="AF111" s="286"/>
      <c r="AG111" s="286"/>
      <c r="AH111" s="286"/>
      <c r="AI111" s="286"/>
      <c r="AJ111" s="286"/>
      <c r="AK111" s="286"/>
      <c r="AL111" s="286"/>
      <c r="AM111" s="286"/>
      <c r="AN111" s="286"/>
      <c r="AO111" s="286"/>
      <c r="AP111" s="286"/>
    </row>
    <row r="112" spans="1:42" s="2" customFormat="1" ht="14" x14ac:dyDescent="0.3">
      <c r="B112" s="2" t="s">
        <v>461</v>
      </c>
      <c r="C112" s="2" t="s">
        <v>552</v>
      </c>
      <c r="D112" s="2" t="s">
        <v>1502</v>
      </c>
      <c r="E112" s="2" t="s">
        <v>82</v>
      </c>
      <c r="F112" s="2" t="s">
        <v>1483</v>
      </c>
      <c r="H112" s="34"/>
      <c r="I112" s="5"/>
      <c r="J112" s="5"/>
      <c r="K112" s="34"/>
      <c r="L112" s="255" t="s">
        <v>1505</v>
      </c>
      <c r="M112" s="256">
        <v>1.3466960071619343</v>
      </c>
      <c r="N112" s="5"/>
      <c r="O112" s="34"/>
      <c r="P112" s="251" t="s">
        <v>1484</v>
      </c>
      <c r="Q112" s="252" t="s">
        <v>87</v>
      </c>
      <c r="R112" s="252" t="s">
        <v>502</v>
      </c>
      <c r="S112" s="251" t="s">
        <v>1485</v>
      </c>
      <c r="T112" s="251" t="s">
        <v>1486</v>
      </c>
      <c r="U112" s="251" t="s">
        <v>13</v>
      </c>
      <c r="V112" s="286" t="s">
        <v>1487</v>
      </c>
      <c r="W112" s="286"/>
      <c r="X112" s="286"/>
      <c r="Y112" s="286"/>
      <c r="Z112" s="286"/>
      <c r="AA112" s="286"/>
      <c r="AB112" s="286"/>
      <c r="AC112" s="286"/>
      <c r="AD112" s="286"/>
      <c r="AE112" s="286"/>
      <c r="AF112" s="286"/>
      <c r="AG112" s="286"/>
      <c r="AH112" s="286"/>
      <c r="AI112" s="286"/>
      <c r="AJ112" s="286"/>
      <c r="AK112" s="286"/>
      <c r="AL112" s="286"/>
      <c r="AM112" s="286"/>
      <c r="AN112" s="286"/>
      <c r="AO112" s="286"/>
      <c r="AP112" s="286"/>
    </row>
    <row r="113" spans="1:64" s="2" customFormat="1" ht="14" x14ac:dyDescent="0.3">
      <c r="B113" s="2" t="s">
        <v>461</v>
      </c>
      <c r="C113" s="2" t="s">
        <v>552</v>
      </c>
      <c r="D113" s="2" t="s">
        <v>1127</v>
      </c>
      <c r="E113" s="2" t="s">
        <v>82</v>
      </c>
      <c r="F113" s="2" t="s">
        <v>1483</v>
      </c>
      <c r="H113" s="34"/>
      <c r="I113" s="5"/>
      <c r="J113" s="5"/>
      <c r="K113" s="34"/>
      <c r="L113" s="255" t="s">
        <v>1506</v>
      </c>
      <c r="M113" s="256">
        <v>1.1189152276940497</v>
      </c>
      <c r="N113" s="5"/>
      <c r="O113" s="34"/>
      <c r="P113" s="251" t="s">
        <v>1484</v>
      </c>
      <c r="Q113" s="252" t="s">
        <v>87</v>
      </c>
      <c r="R113" s="252" t="s">
        <v>502</v>
      </c>
      <c r="S113" s="251" t="s">
        <v>1485</v>
      </c>
      <c r="T113" s="251" t="s">
        <v>1486</v>
      </c>
      <c r="U113" s="251" t="s">
        <v>13</v>
      </c>
      <c r="V113" s="286" t="s">
        <v>1487</v>
      </c>
      <c r="W113" s="286"/>
      <c r="X113" s="286"/>
      <c r="Y113" s="286"/>
      <c r="Z113" s="286"/>
      <c r="AA113" s="286"/>
      <c r="AB113" s="286"/>
      <c r="AC113" s="286"/>
      <c r="AD113" s="286"/>
      <c r="AE113" s="286"/>
      <c r="AF113" s="286"/>
      <c r="AG113" s="286"/>
      <c r="AH113" s="286"/>
      <c r="AI113" s="286"/>
      <c r="AJ113" s="286"/>
      <c r="AK113" s="286"/>
      <c r="AL113" s="286"/>
      <c r="AM113" s="286"/>
      <c r="AN113" s="286"/>
      <c r="AO113" s="286"/>
      <c r="AP113" s="286"/>
    </row>
    <row r="114" spans="1:64" s="2" customFormat="1" ht="14" x14ac:dyDescent="0.3">
      <c r="B114" s="2" t="s">
        <v>461</v>
      </c>
      <c r="C114" s="3" t="s">
        <v>552</v>
      </c>
      <c r="D114" s="3" t="s">
        <v>1127</v>
      </c>
      <c r="E114" s="3" t="s">
        <v>82</v>
      </c>
      <c r="F114" s="3" t="s">
        <v>31</v>
      </c>
      <c r="G114" s="3" t="s">
        <v>54</v>
      </c>
      <c r="H114" s="32"/>
      <c r="I114" s="4">
        <v>0.34</v>
      </c>
      <c r="J114" s="4"/>
      <c r="K114" s="32">
        <v>1</v>
      </c>
      <c r="L114" s="32"/>
      <c r="M114" s="53"/>
      <c r="N114" s="4"/>
      <c r="O114" s="32"/>
      <c r="P114" s="3" t="s">
        <v>347</v>
      </c>
      <c r="Q114" s="26" t="s">
        <v>40</v>
      </c>
      <c r="R114" s="3" t="s">
        <v>4</v>
      </c>
      <c r="S114" s="3" t="s">
        <v>354</v>
      </c>
      <c r="T114" s="3" t="s">
        <v>353</v>
      </c>
      <c r="U114" s="3" t="s">
        <v>1</v>
      </c>
      <c r="V114" s="10" t="s">
        <v>352</v>
      </c>
      <c r="W114" s="3"/>
    </row>
    <row r="115" spans="1:64" s="2" customFormat="1" ht="14" x14ac:dyDescent="0.3">
      <c r="B115" s="2" t="s">
        <v>461</v>
      </c>
      <c r="C115" s="3" t="s">
        <v>552</v>
      </c>
      <c r="D115" s="3" t="s">
        <v>1127</v>
      </c>
      <c r="E115" s="3" t="s">
        <v>82</v>
      </c>
      <c r="F115" s="3" t="s">
        <v>59</v>
      </c>
      <c r="G115" s="3" t="s">
        <v>54</v>
      </c>
      <c r="H115" s="32"/>
      <c r="I115" s="4">
        <v>0.26</v>
      </c>
      <c r="J115" s="4"/>
      <c r="K115" s="32">
        <v>1</v>
      </c>
      <c r="L115" s="32"/>
      <c r="M115" s="53"/>
      <c r="N115" s="4"/>
      <c r="O115" s="32"/>
      <c r="P115" s="3" t="s">
        <v>347</v>
      </c>
      <c r="Q115" s="26" t="s">
        <v>40</v>
      </c>
      <c r="R115" s="3" t="s">
        <v>4</v>
      </c>
      <c r="S115" s="3" t="s">
        <v>354</v>
      </c>
      <c r="T115" s="3" t="s">
        <v>353</v>
      </c>
      <c r="U115" s="3" t="s">
        <v>1</v>
      </c>
      <c r="V115" s="10" t="s">
        <v>352</v>
      </c>
      <c r="W115" s="3"/>
    </row>
    <row r="116" spans="1:64" s="2" customFormat="1" ht="14" x14ac:dyDescent="0.3">
      <c r="B116" s="2" t="s">
        <v>461</v>
      </c>
      <c r="C116" s="3" t="s">
        <v>552</v>
      </c>
      <c r="D116" s="3" t="s">
        <v>1127</v>
      </c>
      <c r="E116" s="3" t="s">
        <v>82</v>
      </c>
      <c r="F116" s="3" t="s">
        <v>59</v>
      </c>
      <c r="G116" s="3"/>
      <c r="H116" s="32" t="s">
        <v>553</v>
      </c>
      <c r="I116" s="4">
        <v>0.72</v>
      </c>
      <c r="J116" s="4"/>
      <c r="K116" s="32">
        <v>3</v>
      </c>
      <c r="L116" s="32"/>
      <c r="M116" s="53"/>
      <c r="N116" s="4"/>
      <c r="O116" s="32"/>
      <c r="P116" s="3"/>
      <c r="Q116" s="26" t="s">
        <v>40</v>
      </c>
      <c r="R116" s="3" t="s">
        <v>4</v>
      </c>
      <c r="S116" s="3" t="s">
        <v>62</v>
      </c>
      <c r="T116" s="3" t="s">
        <v>61</v>
      </c>
      <c r="U116" s="3" t="s">
        <v>1</v>
      </c>
      <c r="V116" s="10" t="s">
        <v>55</v>
      </c>
      <c r="W116" s="3"/>
    </row>
    <row r="117" spans="1:64" s="2" customFormat="1" ht="14" x14ac:dyDescent="0.3">
      <c r="B117" s="2" t="s">
        <v>461</v>
      </c>
      <c r="C117" s="3" t="s">
        <v>552</v>
      </c>
      <c r="D117" s="3" t="s">
        <v>1127</v>
      </c>
      <c r="E117" s="3" t="s">
        <v>82</v>
      </c>
      <c r="F117" s="3" t="s">
        <v>59</v>
      </c>
      <c r="G117" s="3"/>
      <c r="H117" s="32"/>
      <c r="I117" s="4">
        <v>1.04</v>
      </c>
      <c r="J117" s="4"/>
      <c r="K117" s="32">
        <v>3</v>
      </c>
      <c r="L117" s="32"/>
      <c r="M117" s="53"/>
      <c r="N117" s="4"/>
      <c r="O117" s="32"/>
      <c r="P117" s="3"/>
      <c r="Q117" s="26" t="s">
        <v>40</v>
      </c>
      <c r="R117" s="3" t="s">
        <v>4</v>
      </c>
      <c r="S117" s="3" t="s">
        <v>57</v>
      </c>
      <c r="T117" s="3" t="s">
        <v>56</v>
      </c>
      <c r="U117" s="3" t="s">
        <v>1</v>
      </c>
      <c r="V117" s="10" t="s">
        <v>55</v>
      </c>
      <c r="W117" s="3"/>
    </row>
    <row r="118" spans="1:64" s="2" customFormat="1" ht="14" x14ac:dyDescent="0.3">
      <c r="B118" s="2" t="s">
        <v>461</v>
      </c>
      <c r="C118" s="3" t="s">
        <v>1068</v>
      </c>
      <c r="D118" s="3" t="s">
        <v>1067</v>
      </c>
      <c r="E118" s="3" t="s">
        <v>82</v>
      </c>
      <c r="F118" s="3" t="s">
        <v>42</v>
      </c>
      <c r="G118" s="3"/>
      <c r="H118" s="32"/>
      <c r="I118" s="4">
        <v>0.28000000000000003</v>
      </c>
      <c r="J118" s="4"/>
      <c r="K118" s="32">
        <v>2</v>
      </c>
      <c r="L118" s="32"/>
      <c r="M118" s="53"/>
      <c r="N118" s="4"/>
      <c r="O118" s="32"/>
      <c r="P118" s="3" t="s">
        <v>41</v>
      </c>
      <c r="Q118" s="26" t="s">
        <v>40</v>
      </c>
      <c r="R118" s="3" t="s">
        <v>39</v>
      </c>
      <c r="S118" s="3" t="s">
        <v>38</v>
      </c>
      <c r="T118" s="3"/>
      <c r="U118" s="3" t="s">
        <v>37</v>
      </c>
      <c r="V118" s="10" t="s">
        <v>36</v>
      </c>
      <c r="W118" s="3"/>
    </row>
    <row r="119" spans="1:64" s="2" customFormat="1" ht="14" x14ac:dyDescent="0.3">
      <c r="B119" s="2" t="s">
        <v>461</v>
      </c>
      <c r="C119" s="3" t="s">
        <v>552</v>
      </c>
      <c r="D119" s="3" t="s">
        <v>90</v>
      </c>
      <c r="E119" s="3" t="s">
        <v>82</v>
      </c>
      <c r="F119" s="3" t="s">
        <v>122</v>
      </c>
      <c r="G119" s="3" t="s">
        <v>375</v>
      </c>
      <c r="H119" s="32"/>
      <c r="I119" s="4">
        <v>0.3</v>
      </c>
      <c r="J119" s="4"/>
      <c r="K119" s="32">
        <v>1</v>
      </c>
      <c r="L119" s="32"/>
      <c r="M119" s="53"/>
      <c r="N119" s="4"/>
      <c r="O119" s="32"/>
      <c r="P119" s="3" t="s">
        <v>120</v>
      </c>
      <c r="Q119" s="26" t="s">
        <v>119</v>
      </c>
      <c r="R119" s="3" t="s">
        <v>15</v>
      </c>
      <c r="S119" s="3" t="s">
        <v>118</v>
      </c>
      <c r="T119" s="3"/>
      <c r="U119" s="3" t="s">
        <v>13</v>
      </c>
      <c r="V119" s="10" t="s">
        <v>117</v>
      </c>
      <c r="W119" s="3"/>
    </row>
    <row r="120" spans="1:64" s="15" customFormat="1" ht="14" x14ac:dyDescent="0.3">
      <c r="A120" s="7" t="s">
        <v>887</v>
      </c>
      <c r="C120" s="15" t="s">
        <v>552</v>
      </c>
      <c r="E120" s="15" t="s">
        <v>82</v>
      </c>
      <c r="H120" s="35"/>
      <c r="I120" s="16">
        <f>AVERAGE(I111:I119)</f>
        <v>0.49000000000000005</v>
      </c>
      <c r="J120" s="16">
        <f>STDEV(I111:I119)/SQRT(COUNT(I111:I119))</f>
        <v>0.13051181300301257</v>
      </c>
      <c r="K120" s="35"/>
      <c r="L120" s="35"/>
      <c r="M120" s="16">
        <f>AVERAGE(M111:M119)</f>
        <v>1.131900858968971</v>
      </c>
      <c r="N120" s="16">
        <f>STDEV(M111:M119)/SQRT(COUNT(M111:M119))</f>
        <v>0.12043854824870838</v>
      </c>
      <c r="O120" s="35"/>
      <c r="Q120" s="41"/>
      <c r="V120" s="46"/>
    </row>
    <row r="121" spans="1:64" s="2" customFormat="1" ht="14" x14ac:dyDescent="0.3">
      <c r="B121" s="3" t="s">
        <v>592</v>
      </c>
      <c r="C121" s="3" t="s">
        <v>591</v>
      </c>
      <c r="D121" s="3" t="s">
        <v>594</v>
      </c>
      <c r="E121" s="3" t="s">
        <v>82</v>
      </c>
      <c r="F121" s="3" t="s">
        <v>600</v>
      </c>
      <c r="G121" s="2" t="s">
        <v>1117</v>
      </c>
      <c r="H121" s="32" t="s">
        <v>599</v>
      </c>
      <c r="I121" s="4">
        <v>0.18</v>
      </c>
      <c r="J121" s="4">
        <v>0.02</v>
      </c>
      <c r="K121" s="32">
        <v>6</v>
      </c>
      <c r="L121" s="32"/>
      <c r="M121" s="4"/>
      <c r="N121" s="4"/>
      <c r="O121" s="32"/>
      <c r="P121" s="3" t="s">
        <v>347</v>
      </c>
      <c r="Q121" s="26" t="s">
        <v>598</v>
      </c>
      <c r="R121" s="3" t="s">
        <v>406</v>
      </c>
      <c r="S121" s="3" t="s">
        <v>597</v>
      </c>
      <c r="T121" s="3"/>
      <c r="U121" s="3" t="s">
        <v>126</v>
      </c>
      <c r="V121" s="10" t="s">
        <v>596</v>
      </c>
      <c r="W121" s="3"/>
    </row>
    <row r="122" spans="1:64" s="2" customFormat="1" ht="14" x14ac:dyDescent="0.3">
      <c r="B122" s="3" t="s">
        <v>592</v>
      </c>
      <c r="C122" s="3" t="s">
        <v>591</v>
      </c>
      <c r="D122" s="3" t="s">
        <v>594</v>
      </c>
      <c r="E122" s="3" t="s">
        <v>82</v>
      </c>
      <c r="F122" s="3" t="s">
        <v>59</v>
      </c>
      <c r="G122" s="3"/>
      <c r="H122" s="32" t="s">
        <v>595</v>
      </c>
      <c r="I122" s="4">
        <v>0.38</v>
      </c>
      <c r="J122" s="4"/>
      <c r="K122" s="32"/>
      <c r="L122" s="32"/>
      <c r="M122" s="4">
        <v>1.8</v>
      </c>
      <c r="N122" s="4"/>
      <c r="O122" s="32"/>
      <c r="P122" s="3" t="s">
        <v>120</v>
      </c>
      <c r="Q122" s="26" t="s">
        <v>87</v>
      </c>
      <c r="R122" s="3" t="s">
        <v>112</v>
      </c>
      <c r="S122" s="3" t="s">
        <v>123</v>
      </c>
      <c r="T122" s="3"/>
      <c r="U122" s="3" t="s">
        <v>13</v>
      </c>
      <c r="V122" s="10" t="s">
        <v>84</v>
      </c>
      <c r="W122" s="3"/>
    </row>
    <row r="123" spans="1:64" s="2" customFormat="1" ht="14" x14ac:dyDescent="0.3">
      <c r="B123" s="3" t="s">
        <v>592</v>
      </c>
      <c r="C123" s="3" t="s">
        <v>591</v>
      </c>
      <c r="D123" s="3" t="s">
        <v>594</v>
      </c>
      <c r="E123" s="3" t="s">
        <v>82</v>
      </c>
      <c r="F123" s="3" t="s">
        <v>59</v>
      </c>
      <c r="G123" s="3"/>
      <c r="H123" s="32" t="s">
        <v>593</v>
      </c>
      <c r="I123" s="4">
        <v>0.27</v>
      </c>
      <c r="J123" s="4"/>
      <c r="K123" s="32"/>
      <c r="L123" s="32"/>
      <c r="M123" s="4">
        <v>1.8</v>
      </c>
      <c r="N123" s="4"/>
      <c r="O123" s="32"/>
      <c r="P123" s="3" t="s">
        <v>88</v>
      </c>
      <c r="Q123" s="26" t="s">
        <v>87</v>
      </c>
      <c r="R123" s="3" t="s">
        <v>86</v>
      </c>
      <c r="S123" s="3"/>
      <c r="T123" s="3"/>
      <c r="U123" s="3" t="s">
        <v>85</v>
      </c>
      <c r="V123" s="10" t="s">
        <v>84</v>
      </c>
      <c r="W123" s="3"/>
    </row>
    <row r="124" spans="1:64" x14ac:dyDescent="0.35">
      <c r="A124" s="2"/>
      <c r="B124" s="2" t="s">
        <v>592</v>
      </c>
      <c r="C124" s="2" t="s">
        <v>591</v>
      </c>
      <c r="D124" s="2" t="s">
        <v>594</v>
      </c>
      <c r="E124" s="2" t="s">
        <v>82</v>
      </c>
      <c r="F124" s="2" t="s">
        <v>1483</v>
      </c>
      <c r="G124" s="2"/>
      <c r="H124" s="34"/>
      <c r="I124" s="5"/>
      <c r="J124" s="5"/>
      <c r="K124" s="34"/>
      <c r="L124" s="34"/>
      <c r="M124" s="5">
        <v>1.24</v>
      </c>
      <c r="N124" s="5">
        <v>0.18</v>
      </c>
      <c r="O124" s="34">
        <v>36</v>
      </c>
      <c r="P124" s="2"/>
      <c r="Q124" s="39"/>
      <c r="R124" s="2" t="s">
        <v>502</v>
      </c>
      <c r="S124" s="2" t="s">
        <v>1734</v>
      </c>
      <c r="T124" s="2"/>
      <c r="U124" s="2" t="s">
        <v>13</v>
      </c>
      <c r="V124" s="44" t="s">
        <v>1735</v>
      </c>
      <c r="W124" s="2"/>
    </row>
    <row r="125" spans="1:64" x14ac:dyDescent="0.35">
      <c r="A125" s="2"/>
      <c r="B125" s="3" t="s">
        <v>592</v>
      </c>
      <c r="C125" s="3" t="s">
        <v>591</v>
      </c>
      <c r="D125" s="3" t="s">
        <v>90</v>
      </c>
      <c r="E125" s="3" t="s">
        <v>82</v>
      </c>
      <c r="F125" s="3" t="s">
        <v>122</v>
      </c>
      <c r="G125" s="3" t="s">
        <v>375</v>
      </c>
      <c r="I125" s="4">
        <v>1</v>
      </c>
      <c r="K125" s="32">
        <v>1</v>
      </c>
      <c r="M125" s="4">
        <v>1.24</v>
      </c>
      <c r="N125" s="4">
        <v>0.15</v>
      </c>
      <c r="P125" s="3" t="s">
        <v>120</v>
      </c>
      <c r="Q125" s="26" t="s">
        <v>119</v>
      </c>
      <c r="R125" s="3" t="s">
        <v>15</v>
      </c>
      <c r="S125" s="3" t="s">
        <v>118</v>
      </c>
      <c r="U125" s="3" t="s">
        <v>13</v>
      </c>
      <c r="V125" s="10" t="s">
        <v>117</v>
      </c>
    </row>
    <row r="126" spans="1:64" s="12" customFormat="1" x14ac:dyDescent="0.35">
      <c r="A126" s="7" t="s">
        <v>890</v>
      </c>
      <c r="B126" s="7"/>
      <c r="C126" s="7" t="s">
        <v>591</v>
      </c>
      <c r="D126" s="7"/>
      <c r="E126" s="7" t="s">
        <v>82</v>
      </c>
      <c r="F126" s="7"/>
      <c r="G126" s="7"/>
      <c r="H126" s="33"/>
      <c r="I126" s="8">
        <f>AVERAGE(I121:I125)</f>
        <v>0.45750000000000002</v>
      </c>
      <c r="J126" s="8">
        <f>STDEV(I121:I125)/SQRT(COUNT(I121:I125))</f>
        <v>0.18539934376007555</v>
      </c>
      <c r="K126" s="33"/>
      <c r="L126" s="33"/>
      <c r="M126" s="8">
        <f>AVERAGE(M121:M125)</f>
        <v>1.52</v>
      </c>
      <c r="N126" s="8">
        <f>STDEV(M121:M125)/SQRT(COUNT(M121:M125))</f>
        <v>0.16165807537309501</v>
      </c>
      <c r="O126" s="33"/>
      <c r="P126" s="7"/>
      <c r="Q126" s="38"/>
      <c r="R126" s="7"/>
      <c r="S126" s="7"/>
      <c r="T126" s="7"/>
      <c r="U126" s="7"/>
      <c r="V126" s="13"/>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x14ac:dyDescent="0.35">
      <c r="A127" s="2"/>
      <c r="B127" s="257" t="s">
        <v>461</v>
      </c>
      <c r="C127" s="2" t="s">
        <v>1507</v>
      </c>
      <c r="D127" s="2" t="s">
        <v>1508</v>
      </c>
      <c r="E127" s="2" t="s">
        <v>82</v>
      </c>
      <c r="F127" s="2" t="s">
        <v>1483</v>
      </c>
      <c r="G127" s="2"/>
      <c r="H127" s="34"/>
      <c r="I127" s="5"/>
      <c r="J127" s="5"/>
      <c r="K127" s="34"/>
      <c r="L127" s="34" t="s">
        <v>1512</v>
      </c>
      <c r="M127" s="5">
        <v>0.91222771208596043</v>
      </c>
      <c r="N127" s="5"/>
      <c r="O127" s="34"/>
      <c r="P127" s="251" t="s">
        <v>1484</v>
      </c>
      <c r="Q127" s="252" t="s">
        <v>87</v>
      </c>
      <c r="R127" s="252" t="s">
        <v>502</v>
      </c>
      <c r="S127" s="251" t="s">
        <v>1485</v>
      </c>
      <c r="T127" s="251" t="s">
        <v>1486</v>
      </c>
      <c r="U127" s="251" t="s">
        <v>13</v>
      </c>
      <c r="V127" s="286" t="s">
        <v>1487</v>
      </c>
      <c r="W127" s="286"/>
      <c r="X127" s="286"/>
      <c r="Y127" s="286"/>
      <c r="Z127" s="286"/>
      <c r="AA127" s="286"/>
      <c r="AB127" s="286"/>
      <c r="AC127" s="286"/>
      <c r="AD127" s="286"/>
      <c r="AE127" s="286"/>
      <c r="AF127" s="286"/>
      <c r="AG127" s="286"/>
      <c r="AH127" s="286"/>
      <c r="AI127" s="286"/>
      <c r="AJ127" s="286"/>
      <c r="AK127" s="286"/>
      <c r="AL127" s="286"/>
      <c r="AM127" s="286"/>
      <c r="AN127" s="286"/>
      <c r="AO127" s="286"/>
      <c r="AP127" s="286"/>
    </row>
    <row r="128" spans="1:64" x14ac:dyDescent="0.35">
      <c r="A128" s="2"/>
      <c r="B128" s="257" t="s">
        <v>461</v>
      </c>
      <c r="C128" s="2" t="s">
        <v>1507</v>
      </c>
      <c r="D128" s="2" t="s">
        <v>1509</v>
      </c>
      <c r="E128" s="2" t="s">
        <v>82</v>
      </c>
      <c r="F128" s="2" t="s">
        <v>1483</v>
      </c>
      <c r="G128" s="2"/>
      <c r="H128" s="34"/>
      <c r="I128" s="5"/>
      <c r="J128" s="5"/>
      <c r="K128" s="34"/>
      <c r="L128" s="34" t="s">
        <v>1513</v>
      </c>
      <c r="M128" s="5">
        <v>0.89101118892405617</v>
      </c>
      <c r="N128" s="5"/>
      <c r="O128" s="34"/>
      <c r="P128" s="251" t="s">
        <v>1484</v>
      </c>
      <c r="Q128" s="252" t="s">
        <v>87</v>
      </c>
      <c r="R128" s="252" t="s">
        <v>502</v>
      </c>
      <c r="S128" s="251" t="s">
        <v>1485</v>
      </c>
      <c r="T128" s="251" t="s">
        <v>1486</v>
      </c>
      <c r="U128" s="251" t="s">
        <v>13</v>
      </c>
      <c r="V128" s="286" t="s">
        <v>1487</v>
      </c>
      <c r="W128" s="286"/>
      <c r="X128" s="286"/>
      <c r="Y128" s="286"/>
      <c r="Z128" s="286"/>
      <c r="AA128" s="286"/>
      <c r="AB128" s="286"/>
      <c r="AC128" s="286"/>
      <c r="AD128" s="286"/>
      <c r="AE128" s="286"/>
      <c r="AF128" s="286"/>
      <c r="AG128" s="286"/>
      <c r="AH128" s="286"/>
      <c r="AI128" s="286"/>
      <c r="AJ128" s="286"/>
      <c r="AK128" s="286"/>
      <c r="AL128" s="286"/>
      <c r="AM128" s="286"/>
      <c r="AN128" s="286"/>
      <c r="AO128" s="286"/>
      <c r="AP128" s="286"/>
    </row>
    <row r="129" spans="1:64" x14ac:dyDescent="0.35">
      <c r="A129" s="2"/>
      <c r="B129" s="257" t="s">
        <v>461</v>
      </c>
      <c r="C129" s="2" t="s">
        <v>1507</v>
      </c>
      <c r="D129" s="2" t="s">
        <v>1510</v>
      </c>
      <c r="E129" s="2" t="s">
        <v>82</v>
      </c>
      <c r="F129" s="2" t="s">
        <v>1483</v>
      </c>
      <c r="G129" s="2"/>
      <c r="H129" s="34"/>
      <c r="I129" s="5"/>
      <c r="J129" s="5"/>
      <c r="K129" s="34"/>
      <c r="L129" s="34" t="s">
        <v>1514</v>
      </c>
      <c r="M129" s="5">
        <v>1.0245653506276899</v>
      </c>
      <c r="N129" s="5"/>
      <c r="O129" s="34"/>
      <c r="P129" s="251" t="s">
        <v>1484</v>
      </c>
      <c r="Q129" s="252" t="s">
        <v>87</v>
      </c>
      <c r="R129" s="252" t="s">
        <v>502</v>
      </c>
      <c r="S129" s="251" t="s">
        <v>1485</v>
      </c>
      <c r="T129" s="251" t="s">
        <v>1486</v>
      </c>
      <c r="U129" s="251" t="s">
        <v>13</v>
      </c>
      <c r="V129" s="286" t="s">
        <v>1487</v>
      </c>
      <c r="W129" s="286"/>
      <c r="X129" s="286"/>
      <c r="Y129" s="286"/>
      <c r="Z129" s="286"/>
      <c r="AA129" s="286"/>
      <c r="AB129" s="286"/>
      <c r="AC129" s="286"/>
      <c r="AD129" s="286"/>
      <c r="AE129" s="286"/>
      <c r="AF129" s="286"/>
      <c r="AG129" s="286"/>
      <c r="AH129" s="286"/>
      <c r="AI129" s="286"/>
      <c r="AJ129" s="286"/>
      <c r="AK129" s="286"/>
      <c r="AL129" s="286"/>
      <c r="AM129" s="286"/>
      <c r="AN129" s="286"/>
      <c r="AO129" s="286"/>
      <c r="AP129" s="286"/>
    </row>
    <row r="130" spans="1:64" x14ac:dyDescent="0.35">
      <c r="A130" s="2"/>
      <c r="B130" s="257" t="s">
        <v>461</v>
      </c>
      <c r="C130" s="2" t="s">
        <v>1507</v>
      </c>
      <c r="D130" s="2" t="s">
        <v>1511</v>
      </c>
      <c r="E130" s="2" t="s">
        <v>82</v>
      </c>
      <c r="F130" s="2" t="s">
        <v>1483</v>
      </c>
      <c r="G130" s="2"/>
      <c r="H130" s="34"/>
      <c r="I130" s="5"/>
      <c r="J130" s="5"/>
      <c r="K130" s="34"/>
      <c r="L130" s="34" t="s">
        <v>1504</v>
      </c>
      <c r="M130" s="5">
        <v>0.9058249759229533</v>
      </c>
      <c r="N130" s="5"/>
      <c r="O130" s="34"/>
      <c r="P130" s="251" t="s">
        <v>1484</v>
      </c>
      <c r="Q130" s="252" t="s">
        <v>87</v>
      </c>
      <c r="R130" s="252" t="s">
        <v>502</v>
      </c>
      <c r="S130" s="251" t="s">
        <v>1485</v>
      </c>
      <c r="T130" s="251" t="s">
        <v>1486</v>
      </c>
      <c r="U130" s="251" t="s">
        <v>13</v>
      </c>
      <c r="V130" s="286" t="s">
        <v>1487</v>
      </c>
      <c r="W130" s="286"/>
      <c r="X130" s="286"/>
      <c r="Y130" s="286"/>
      <c r="Z130" s="286"/>
      <c r="AA130" s="286"/>
      <c r="AB130" s="286"/>
      <c r="AC130" s="286"/>
      <c r="AD130" s="286"/>
      <c r="AE130" s="286"/>
      <c r="AF130" s="286"/>
      <c r="AG130" s="286"/>
      <c r="AH130" s="286"/>
      <c r="AI130" s="286"/>
      <c r="AJ130" s="286"/>
      <c r="AK130" s="286"/>
      <c r="AL130" s="286"/>
      <c r="AM130" s="286"/>
      <c r="AN130" s="286"/>
      <c r="AO130" s="286"/>
      <c r="AP130" s="286"/>
    </row>
    <row r="131" spans="1:64" x14ac:dyDescent="0.35">
      <c r="A131" s="2"/>
      <c r="B131" s="257" t="s">
        <v>461</v>
      </c>
      <c r="C131" s="2" t="s">
        <v>1507</v>
      </c>
      <c r="D131" s="2" t="s">
        <v>546</v>
      </c>
      <c r="E131" s="2" t="s">
        <v>82</v>
      </c>
      <c r="F131" s="2" t="s">
        <v>1483</v>
      </c>
      <c r="G131" s="2"/>
      <c r="H131" s="34"/>
      <c r="I131" s="5"/>
      <c r="J131" s="5"/>
      <c r="K131" s="34"/>
      <c r="L131" s="34" t="s">
        <v>1515</v>
      </c>
      <c r="M131" s="5">
        <v>1.0479323189080956</v>
      </c>
      <c r="N131" s="5"/>
      <c r="O131" s="34"/>
      <c r="P131" s="251" t="s">
        <v>1484</v>
      </c>
      <c r="Q131" s="252" t="s">
        <v>87</v>
      </c>
      <c r="R131" s="252" t="s">
        <v>502</v>
      </c>
      <c r="S131" s="251" t="s">
        <v>1485</v>
      </c>
      <c r="T131" s="251" t="s">
        <v>1486</v>
      </c>
      <c r="U131" s="251" t="s">
        <v>13</v>
      </c>
      <c r="V131" s="286" t="s">
        <v>1487</v>
      </c>
      <c r="W131" s="286"/>
      <c r="X131" s="286"/>
      <c r="Y131" s="286"/>
      <c r="Z131" s="286"/>
      <c r="AA131" s="286"/>
      <c r="AB131" s="286"/>
      <c r="AC131" s="286"/>
      <c r="AD131" s="286"/>
      <c r="AE131" s="286"/>
      <c r="AF131" s="286"/>
      <c r="AG131" s="286"/>
      <c r="AH131" s="286"/>
      <c r="AI131" s="286"/>
      <c r="AJ131" s="286"/>
      <c r="AK131" s="286"/>
      <c r="AL131" s="286"/>
      <c r="AM131" s="286"/>
      <c r="AN131" s="286"/>
      <c r="AO131" s="286"/>
      <c r="AP131" s="286"/>
    </row>
    <row r="132" spans="1:64" s="2" customFormat="1" ht="14" x14ac:dyDescent="0.3">
      <c r="B132" s="49" t="s">
        <v>461</v>
      </c>
      <c r="C132" s="2" t="s">
        <v>1725</v>
      </c>
      <c r="D132" s="3" t="s">
        <v>547</v>
      </c>
      <c r="E132" s="3" t="s">
        <v>82</v>
      </c>
      <c r="F132" s="3" t="s">
        <v>59</v>
      </c>
      <c r="G132" s="3"/>
      <c r="H132" s="32" t="s">
        <v>550</v>
      </c>
      <c r="I132" s="4">
        <v>0.56999999999999995</v>
      </c>
      <c r="J132" s="4"/>
      <c r="K132" s="32">
        <v>21</v>
      </c>
      <c r="L132" s="32" t="s">
        <v>549</v>
      </c>
      <c r="M132" s="4">
        <v>1.43</v>
      </c>
      <c r="N132" s="4"/>
      <c r="O132" s="32">
        <v>21</v>
      </c>
      <c r="P132" s="3" t="s">
        <v>195</v>
      </c>
      <c r="Q132" s="26" t="s">
        <v>548</v>
      </c>
      <c r="R132" s="3" t="s">
        <v>66</v>
      </c>
      <c r="S132" s="3" t="s">
        <v>276</v>
      </c>
      <c r="T132" s="3"/>
      <c r="U132" s="3" t="s">
        <v>37</v>
      </c>
      <c r="V132" s="10" t="s">
        <v>275</v>
      </c>
      <c r="W132" s="3"/>
    </row>
    <row r="133" spans="1:64" s="2" customFormat="1" ht="14" x14ac:dyDescent="0.3">
      <c r="B133" s="49" t="s">
        <v>461</v>
      </c>
      <c r="C133" s="2" t="s">
        <v>1725</v>
      </c>
      <c r="D133" s="3" t="s">
        <v>547</v>
      </c>
      <c r="E133" s="3" t="s">
        <v>82</v>
      </c>
      <c r="F133" s="3" t="s">
        <v>31</v>
      </c>
      <c r="G133" s="3" t="s">
        <v>54</v>
      </c>
      <c r="H133" s="32"/>
      <c r="I133" s="4">
        <v>0.33</v>
      </c>
      <c r="J133" s="4">
        <v>1E-3</v>
      </c>
      <c r="K133" s="32">
        <v>2</v>
      </c>
      <c r="L133" s="32"/>
      <c r="M133" s="4"/>
      <c r="N133" s="4"/>
      <c r="O133" s="32"/>
      <c r="P133" s="3" t="s">
        <v>347</v>
      </c>
      <c r="Q133" s="26" t="s">
        <v>40</v>
      </c>
      <c r="R133" s="3" t="s">
        <v>4</v>
      </c>
      <c r="S133" s="3" t="s">
        <v>354</v>
      </c>
      <c r="T133" s="3" t="s">
        <v>353</v>
      </c>
      <c r="U133" s="3" t="s">
        <v>1</v>
      </c>
      <c r="V133" s="10" t="s">
        <v>352</v>
      </c>
      <c r="W133" s="3"/>
    </row>
    <row r="134" spans="1:64" s="2" customFormat="1" ht="14" x14ac:dyDescent="0.3">
      <c r="B134" s="49" t="s">
        <v>461</v>
      </c>
      <c r="C134" s="2" t="s">
        <v>1725</v>
      </c>
      <c r="D134" s="3" t="s">
        <v>547</v>
      </c>
      <c r="E134" s="3" t="s">
        <v>82</v>
      </c>
      <c r="F134" s="3" t="s">
        <v>59</v>
      </c>
      <c r="G134" s="3" t="s">
        <v>54</v>
      </c>
      <c r="H134" s="32"/>
      <c r="I134" s="4">
        <v>0.46</v>
      </c>
      <c r="J134" s="4"/>
      <c r="K134" s="32">
        <v>1</v>
      </c>
      <c r="L134" s="32"/>
      <c r="M134" s="4"/>
      <c r="N134" s="4"/>
      <c r="O134" s="32"/>
      <c r="P134" s="3" t="s">
        <v>347</v>
      </c>
      <c r="Q134" s="26" t="s">
        <v>40</v>
      </c>
      <c r="R134" s="3" t="s">
        <v>4</v>
      </c>
      <c r="S134" s="3" t="s">
        <v>354</v>
      </c>
      <c r="T134" s="3" t="s">
        <v>353</v>
      </c>
      <c r="U134" s="3" t="s">
        <v>1</v>
      </c>
      <c r="V134" s="10" t="s">
        <v>352</v>
      </c>
      <c r="W134" s="3"/>
    </row>
    <row r="135" spans="1:64" s="2" customFormat="1" ht="14" x14ac:dyDescent="0.3">
      <c r="B135" s="49" t="s">
        <v>461</v>
      </c>
      <c r="C135" s="2" t="s">
        <v>1725</v>
      </c>
      <c r="D135" s="3" t="s">
        <v>546</v>
      </c>
      <c r="E135" s="3" t="s">
        <v>82</v>
      </c>
      <c r="F135" s="3" t="s">
        <v>70</v>
      </c>
      <c r="G135" s="3" t="s">
        <v>1129</v>
      </c>
      <c r="H135" s="32"/>
      <c r="I135" s="4">
        <v>0.625</v>
      </c>
      <c r="J135" s="4">
        <v>0.11547727049077658</v>
      </c>
      <c r="K135" s="32">
        <v>12</v>
      </c>
      <c r="L135" s="32"/>
      <c r="M135" s="4"/>
      <c r="N135" s="4"/>
      <c r="O135" s="32"/>
      <c r="P135" s="6" t="s">
        <v>74</v>
      </c>
      <c r="Q135" s="26" t="s">
        <v>1128</v>
      </c>
      <c r="R135" s="3" t="s">
        <v>66</v>
      </c>
      <c r="S135" s="3" t="s">
        <v>65</v>
      </c>
      <c r="T135" s="3"/>
      <c r="U135" s="3" t="s">
        <v>37</v>
      </c>
      <c r="V135" s="10" t="s">
        <v>72</v>
      </c>
      <c r="W135" s="3"/>
    </row>
    <row r="136" spans="1:64" s="2" customFormat="1" ht="14" x14ac:dyDescent="0.3">
      <c r="B136" s="49" t="s">
        <v>461</v>
      </c>
      <c r="C136" s="2" t="s">
        <v>1725</v>
      </c>
      <c r="D136" s="3" t="s">
        <v>546</v>
      </c>
      <c r="E136" s="3" t="s">
        <v>82</v>
      </c>
      <c r="F136" s="3" t="s">
        <v>70</v>
      </c>
      <c r="G136" s="3"/>
      <c r="H136" s="32"/>
      <c r="I136" s="4">
        <v>0.46</v>
      </c>
      <c r="J136" s="4">
        <v>0.02</v>
      </c>
      <c r="K136" s="32"/>
      <c r="L136" s="32"/>
      <c r="M136" s="4"/>
      <c r="N136" s="4"/>
      <c r="O136" s="32"/>
      <c r="P136" s="6" t="s">
        <v>68</v>
      </c>
      <c r="Q136" s="26" t="s">
        <v>67</v>
      </c>
      <c r="R136" s="3" t="s">
        <v>66</v>
      </c>
      <c r="S136" s="3" t="s">
        <v>65</v>
      </c>
      <c r="T136" s="3"/>
      <c r="U136" s="3" t="s">
        <v>37</v>
      </c>
      <c r="V136" s="10" t="s">
        <v>64</v>
      </c>
      <c r="W136" s="3"/>
    </row>
    <row r="137" spans="1:64" s="2" customFormat="1" ht="14" x14ac:dyDescent="0.3">
      <c r="B137" s="49" t="s">
        <v>461</v>
      </c>
      <c r="C137" s="2" t="s">
        <v>1725</v>
      </c>
      <c r="D137" s="3" t="s">
        <v>546</v>
      </c>
      <c r="E137" s="3" t="s">
        <v>82</v>
      </c>
      <c r="F137" s="3" t="s">
        <v>1140</v>
      </c>
      <c r="G137" s="3" t="s">
        <v>54</v>
      </c>
      <c r="H137" s="32"/>
      <c r="I137" s="4">
        <v>0.66</v>
      </c>
      <c r="J137" s="4">
        <v>0.11</v>
      </c>
      <c r="K137" s="32">
        <v>42</v>
      </c>
      <c r="L137" s="32"/>
      <c r="M137" s="4"/>
      <c r="N137" s="4"/>
      <c r="O137" s="32"/>
      <c r="P137" s="6"/>
      <c r="Q137" s="26" t="s">
        <v>27</v>
      </c>
      <c r="R137" s="3" t="s">
        <v>198</v>
      </c>
      <c r="S137" s="3" t="s">
        <v>545</v>
      </c>
      <c r="T137" s="3" t="s">
        <v>2</v>
      </c>
      <c r="U137" s="3" t="s">
        <v>13</v>
      </c>
      <c r="V137" s="10" t="s">
        <v>544</v>
      </c>
      <c r="W137" s="3"/>
    </row>
    <row r="138" spans="1:64" x14ac:dyDescent="0.35">
      <c r="A138" s="2"/>
      <c r="B138" s="49" t="s">
        <v>461</v>
      </c>
      <c r="C138" s="2" t="s">
        <v>540</v>
      </c>
      <c r="D138" s="2" t="s">
        <v>90</v>
      </c>
      <c r="E138" s="2" t="s">
        <v>82</v>
      </c>
      <c r="F138" s="2" t="s">
        <v>19</v>
      </c>
      <c r="G138" s="2" t="s">
        <v>285</v>
      </c>
      <c r="H138" s="34" t="s">
        <v>543</v>
      </c>
      <c r="I138" s="5">
        <v>0.75</v>
      </c>
      <c r="J138" s="5">
        <v>0.1</v>
      </c>
      <c r="K138" s="34">
        <v>40</v>
      </c>
      <c r="L138" s="34"/>
      <c r="O138" s="34"/>
      <c r="P138" s="2" t="s">
        <v>283</v>
      </c>
      <c r="Q138" s="39" t="s">
        <v>282</v>
      </c>
      <c r="R138" s="2" t="s">
        <v>26</v>
      </c>
      <c r="S138" s="2" t="s">
        <v>281</v>
      </c>
      <c r="T138" s="2"/>
      <c r="U138" s="2" t="s">
        <v>24</v>
      </c>
      <c r="V138" s="44" t="s">
        <v>280</v>
      </c>
      <c r="W138" s="2"/>
    </row>
    <row r="139" spans="1:64" x14ac:dyDescent="0.35">
      <c r="A139" s="2"/>
      <c r="B139" s="49" t="s">
        <v>461</v>
      </c>
      <c r="C139" s="2" t="s">
        <v>540</v>
      </c>
      <c r="D139" s="3" t="s">
        <v>90</v>
      </c>
      <c r="E139" s="3" t="s">
        <v>82</v>
      </c>
      <c r="F139" s="3" t="s">
        <v>122</v>
      </c>
      <c r="H139" s="32" t="s">
        <v>542</v>
      </c>
      <c r="I139" s="4">
        <v>0.77</v>
      </c>
      <c r="J139" s="4">
        <v>0.15</v>
      </c>
      <c r="K139" s="32">
        <v>4</v>
      </c>
      <c r="M139" s="4">
        <v>1.26</v>
      </c>
      <c r="N139" s="4">
        <v>7.0000000000000007E-2</v>
      </c>
      <c r="O139" s="32">
        <v>11</v>
      </c>
      <c r="P139" s="3" t="s">
        <v>120</v>
      </c>
      <c r="Q139" s="26" t="s">
        <v>119</v>
      </c>
      <c r="R139" s="3" t="s">
        <v>15</v>
      </c>
      <c r="S139" s="3" t="s">
        <v>118</v>
      </c>
      <c r="U139" s="3" t="s">
        <v>13</v>
      </c>
      <c r="V139" s="10" t="s">
        <v>117</v>
      </c>
    </row>
    <row r="140" spans="1:64" x14ac:dyDescent="0.35">
      <c r="A140" s="2"/>
      <c r="B140" s="49" t="s">
        <v>461</v>
      </c>
      <c r="C140" s="2" t="s">
        <v>540</v>
      </c>
      <c r="D140" s="2" t="s">
        <v>807</v>
      </c>
      <c r="E140" s="2" t="s">
        <v>82</v>
      </c>
      <c r="F140" s="3" t="s">
        <v>234</v>
      </c>
      <c r="G140" s="3" t="s">
        <v>1041</v>
      </c>
      <c r="I140" s="4">
        <v>1.0979999999999999</v>
      </c>
      <c r="J140" s="4">
        <v>0.17500000000000035</v>
      </c>
      <c r="K140" s="32">
        <v>6</v>
      </c>
      <c r="P140" s="3" t="s">
        <v>74</v>
      </c>
      <c r="Q140" s="26" t="s">
        <v>233</v>
      </c>
      <c r="R140" s="3" t="s">
        <v>112</v>
      </c>
      <c r="S140" s="3" t="s">
        <v>541</v>
      </c>
      <c r="T140" s="3" t="s">
        <v>231</v>
      </c>
      <c r="U140" s="3" t="s">
        <v>13</v>
      </c>
      <c r="V140" s="10" t="s">
        <v>230</v>
      </c>
    </row>
    <row r="141" spans="1:64" x14ac:dyDescent="0.35">
      <c r="A141" s="2"/>
      <c r="B141" s="2" t="s">
        <v>538</v>
      </c>
      <c r="C141" s="2" t="s">
        <v>540</v>
      </c>
      <c r="D141" s="2" t="s">
        <v>807</v>
      </c>
      <c r="E141" s="2" t="s">
        <v>82</v>
      </c>
      <c r="F141" s="2" t="s">
        <v>1763</v>
      </c>
      <c r="G141" s="2" t="s">
        <v>1024</v>
      </c>
      <c r="H141" s="34"/>
      <c r="I141" s="5">
        <v>0.78223796097734422</v>
      </c>
      <c r="J141" s="5">
        <v>7.5825984694207361E-3</v>
      </c>
      <c r="K141" s="34">
        <v>2</v>
      </c>
      <c r="L141" s="34"/>
      <c r="M141" s="5"/>
      <c r="N141" s="5"/>
      <c r="O141" s="34"/>
      <c r="P141" s="2" t="s">
        <v>798</v>
      </c>
      <c r="Q141" s="42" t="s">
        <v>1139</v>
      </c>
      <c r="R141" s="2" t="s">
        <v>1765</v>
      </c>
      <c r="S141" s="2" t="s">
        <v>1766</v>
      </c>
      <c r="T141" s="2"/>
      <c r="U141" s="2" t="s">
        <v>24</v>
      </c>
      <c r="V141" s="44" t="s">
        <v>1790</v>
      </c>
      <c r="W141" s="2"/>
    </row>
    <row r="142" spans="1:64" s="12" customFormat="1" x14ac:dyDescent="0.35">
      <c r="A142" s="7" t="s">
        <v>1641</v>
      </c>
      <c r="B142" s="7"/>
      <c r="C142" s="7" t="s">
        <v>1793</v>
      </c>
      <c r="D142" s="7"/>
      <c r="E142" s="7" t="s">
        <v>82</v>
      </c>
      <c r="F142" s="7"/>
      <c r="G142" s="7"/>
      <c r="H142" s="33"/>
      <c r="I142" s="8">
        <f>AVERAGE(I127:I141)</f>
        <v>0.65052379609773436</v>
      </c>
      <c r="J142" s="8">
        <f>STDEV(I127:I141)/SQRT(COUNT(I127:I141))</f>
        <v>6.8662874871030039E-2</v>
      </c>
      <c r="K142" s="33"/>
      <c r="L142" s="33"/>
      <c r="M142" s="8">
        <f>AVERAGE(M127:M141)</f>
        <v>1.0673659352098221</v>
      </c>
      <c r="N142" s="8">
        <f>STDEV(M127:M141)/SQRT(COUNT(M127:M141))</f>
        <v>7.7472767824731031E-2</v>
      </c>
      <c r="O142" s="33"/>
      <c r="P142" s="7"/>
      <c r="Q142" s="38"/>
      <c r="R142" s="7"/>
      <c r="S142" s="7"/>
      <c r="T142" s="7"/>
      <c r="U142" s="7"/>
      <c r="V142" s="13"/>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spans="1:64" x14ac:dyDescent="0.35">
      <c r="A143" s="2"/>
      <c r="B143" s="257" t="s">
        <v>461</v>
      </c>
      <c r="C143" s="2" t="s">
        <v>895</v>
      </c>
      <c r="D143" s="2" t="s">
        <v>1736</v>
      </c>
      <c r="E143" s="2" t="s">
        <v>1737</v>
      </c>
      <c r="F143" s="2" t="s">
        <v>1483</v>
      </c>
      <c r="G143" s="2"/>
      <c r="H143" s="34"/>
      <c r="I143" s="5"/>
      <c r="J143" s="5"/>
      <c r="K143" s="34"/>
      <c r="L143" s="34"/>
      <c r="M143" s="5">
        <v>1.69</v>
      </c>
      <c r="N143" s="5">
        <v>0.18</v>
      </c>
      <c r="O143" s="34">
        <v>48</v>
      </c>
      <c r="P143" s="2"/>
      <c r="Q143" s="39"/>
      <c r="R143" s="2" t="s">
        <v>502</v>
      </c>
      <c r="S143" s="2" t="s">
        <v>1734</v>
      </c>
      <c r="T143" s="2"/>
      <c r="U143" s="2" t="s">
        <v>13</v>
      </c>
      <c r="V143" s="44" t="s">
        <v>1735</v>
      </c>
      <c r="W143" s="2"/>
    </row>
    <row r="144" spans="1:64" x14ac:dyDescent="0.35">
      <c r="A144" s="2"/>
      <c r="B144" s="257" t="s">
        <v>461</v>
      </c>
      <c r="C144" s="2" t="s">
        <v>895</v>
      </c>
      <c r="D144" s="2" t="s">
        <v>1516</v>
      </c>
      <c r="E144" s="2" t="s">
        <v>1589</v>
      </c>
      <c r="F144" s="2" t="s">
        <v>1483</v>
      </c>
      <c r="G144" s="2"/>
      <c r="H144" s="34" t="s">
        <v>1517</v>
      </c>
      <c r="I144" s="5">
        <v>2.986112082</v>
      </c>
      <c r="J144" s="5"/>
      <c r="K144" s="34"/>
      <c r="L144" s="34" t="s">
        <v>1519</v>
      </c>
      <c r="M144" s="5">
        <v>1.49</v>
      </c>
      <c r="N144" s="5"/>
      <c r="O144" s="34"/>
      <c r="P144" s="251" t="s">
        <v>1484</v>
      </c>
      <c r="Q144" s="252" t="s">
        <v>87</v>
      </c>
      <c r="R144" s="252" t="s">
        <v>502</v>
      </c>
      <c r="S144" s="251" t="s">
        <v>1485</v>
      </c>
      <c r="T144" s="251" t="s">
        <v>1486</v>
      </c>
      <c r="U144" s="251" t="s">
        <v>13</v>
      </c>
      <c r="V144" s="286" t="s">
        <v>1487</v>
      </c>
      <c r="W144" s="286"/>
      <c r="X144" s="286"/>
      <c r="Y144" s="286"/>
      <c r="Z144" s="286"/>
      <c r="AA144" s="286"/>
      <c r="AB144" s="286"/>
      <c r="AC144" s="286"/>
      <c r="AD144" s="286"/>
      <c r="AE144" s="286"/>
      <c r="AF144" s="286"/>
      <c r="AG144" s="286"/>
      <c r="AH144" s="286"/>
      <c r="AI144" s="286"/>
      <c r="AJ144" s="286"/>
      <c r="AK144" s="286"/>
      <c r="AL144" s="286"/>
      <c r="AM144" s="286"/>
      <c r="AN144" s="286"/>
      <c r="AO144" s="286"/>
      <c r="AP144" s="286"/>
    </row>
    <row r="145" spans="1:64" x14ac:dyDescent="0.35">
      <c r="A145" s="2"/>
      <c r="B145" s="257" t="s">
        <v>461</v>
      </c>
      <c r="C145" s="2" t="s">
        <v>895</v>
      </c>
      <c r="D145" s="2" t="s">
        <v>729</v>
      </c>
      <c r="E145" s="2" t="s">
        <v>359</v>
      </c>
      <c r="F145" s="2" t="s">
        <v>1483</v>
      </c>
      <c r="G145" s="2"/>
      <c r="H145" s="34" t="s">
        <v>1518</v>
      </c>
      <c r="I145" s="5">
        <v>2.1760605433999034</v>
      </c>
      <c r="J145" s="5"/>
      <c r="K145" s="34"/>
      <c r="L145" s="34"/>
      <c r="M145" s="5"/>
      <c r="N145" s="5"/>
      <c r="O145" s="34"/>
      <c r="P145" s="251" t="s">
        <v>1484</v>
      </c>
      <c r="Q145" s="252" t="s">
        <v>87</v>
      </c>
      <c r="R145" s="252" t="s">
        <v>502</v>
      </c>
      <c r="S145" s="251" t="s">
        <v>1485</v>
      </c>
      <c r="T145" s="251" t="s">
        <v>1486</v>
      </c>
      <c r="U145" s="251" t="s">
        <v>13</v>
      </c>
      <c r="V145" s="286" t="s">
        <v>1487</v>
      </c>
      <c r="W145" s="286"/>
      <c r="X145" s="286"/>
      <c r="Y145" s="286"/>
      <c r="Z145" s="286"/>
      <c r="AA145" s="286"/>
      <c r="AB145" s="286"/>
      <c r="AC145" s="286"/>
      <c r="AD145" s="286"/>
      <c r="AE145" s="286"/>
      <c r="AF145" s="286"/>
      <c r="AG145" s="286"/>
      <c r="AH145" s="286"/>
      <c r="AI145" s="286"/>
      <c r="AJ145" s="286"/>
      <c r="AK145" s="286"/>
      <c r="AL145" s="286"/>
      <c r="AM145" s="286"/>
      <c r="AN145" s="286"/>
      <c r="AO145" s="286"/>
      <c r="AP145" s="286"/>
    </row>
    <row r="146" spans="1:64" s="12" customFormat="1" ht="15.5" x14ac:dyDescent="0.35">
      <c r="A146" s="7" t="s">
        <v>1757</v>
      </c>
      <c r="B146" s="178"/>
      <c r="C146" s="7" t="s">
        <v>895</v>
      </c>
      <c r="D146" s="7"/>
      <c r="E146" s="7" t="s">
        <v>1738</v>
      </c>
      <c r="F146" s="7"/>
      <c r="G146" s="7"/>
      <c r="H146" s="33"/>
      <c r="I146" s="8">
        <f>AVERAGE(I143:I145)</f>
        <v>2.5810863126999517</v>
      </c>
      <c r="J146" s="8">
        <f>STDEV(I143:I145)/SQRT(COUNT(I143:I145))</f>
        <v>0.40502576930004808</v>
      </c>
      <c r="K146" s="33"/>
      <c r="L146" s="33"/>
      <c r="M146" s="8">
        <f>AVERAGE(M143:M145)</f>
        <v>1.5899999999999999</v>
      </c>
      <c r="N146" s="8">
        <f>STDEV(M143:M145)/SQRT(COUNT(M143:M145))</f>
        <v>9.9999999999999978E-2</v>
      </c>
      <c r="O146" s="33"/>
      <c r="P146" s="7"/>
      <c r="Q146" s="38"/>
      <c r="R146" s="7"/>
      <c r="S146" s="7"/>
      <c r="T146" s="7"/>
      <c r="U146" s="7"/>
      <c r="V146" s="13"/>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spans="1:64" s="2" customFormat="1" ht="14" x14ac:dyDescent="0.3">
      <c r="B147" s="49" t="s">
        <v>538</v>
      </c>
      <c r="C147" s="2" t="s">
        <v>537</v>
      </c>
      <c r="D147" s="2" t="s">
        <v>90</v>
      </c>
      <c r="E147" s="2" t="s">
        <v>82</v>
      </c>
      <c r="F147" s="2" t="s">
        <v>19</v>
      </c>
      <c r="G147" s="2" t="s">
        <v>285</v>
      </c>
      <c r="H147" s="34" t="s">
        <v>539</v>
      </c>
      <c r="I147" s="5">
        <v>0.96</v>
      </c>
      <c r="J147" s="5">
        <v>0.185</v>
      </c>
      <c r="K147" s="34">
        <v>22</v>
      </c>
      <c r="L147" s="34"/>
      <c r="M147" s="5"/>
      <c r="N147" s="5"/>
      <c r="O147" s="34"/>
      <c r="P147" s="2" t="s">
        <v>283</v>
      </c>
      <c r="Q147" s="39" t="s">
        <v>282</v>
      </c>
      <c r="R147" s="2" t="s">
        <v>26</v>
      </c>
      <c r="S147" s="2" t="s">
        <v>281</v>
      </c>
      <c r="U147" s="2" t="s">
        <v>24</v>
      </c>
      <c r="V147" s="44" t="s">
        <v>280</v>
      </c>
    </row>
    <row r="148" spans="1:64" s="2" customFormat="1" ht="14" x14ac:dyDescent="0.3">
      <c r="B148" s="49" t="s">
        <v>538</v>
      </c>
      <c r="C148" s="2" t="s">
        <v>537</v>
      </c>
      <c r="D148" s="2" t="s">
        <v>1524</v>
      </c>
      <c r="E148" s="2" t="s">
        <v>82</v>
      </c>
      <c r="F148" s="2" t="s">
        <v>1483</v>
      </c>
      <c r="H148" s="34"/>
      <c r="I148" s="5"/>
      <c r="J148" s="5"/>
      <c r="K148" s="34"/>
      <c r="L148" s="34" t="s">
        <v>1528</v>
      </c>
      <c r="M148" s="5">
        <v>1.2739457407043038</v>
      </c>
      <c r="N148" s="5"/>
      <c r="O148" s="34"/>
      <c r="P148" s="251" t="s">
        <v>1484</v>
      </c>
      <c r="Q148" s="252" t="s">
        <v>87</v>
      </c>
      <c r="R148" s="252" t="s">
        <v>502</v>
      </c>
      <c r="S148" s="251" t="s">
        <v>1485</v>
      </c>
      <c r="T148" s="251" t="s">
        <v>1486</v>
      </c>
      <c r="U148" s="251" t="s">
        <v>13</v>
      </c>
      <c r="V148" s="286" t="s">
        <v>1487</v>
      </c>
      <c r="W148" s="286"/>
      <c r="X148" s="286"/>
      <c r="Y148" s="286"/>
      <c r="Z148" s="286"/>
      <c r="AA148" s="286"/>
      <c r="AB148" s="286"/>
      <c r="AC148" s="286"/>
      <c r="AD148" s="286"/>
      <c r="AE148" s="286"/>
      <c r="AF148" s="286"/>
      <c r="AG148" s="286"/>
      <c r="AH148" s="286"/>
      <c r="AI148" s="286"/>
      <c r="AJ148" s="286"/>
      <c r="AK148" s="286"/>
      <c r="AL148" s="286"/>
      <c r="AM148" s="286"/>
      <c r="AN148" s="286"/>
      <c r="AO148" s="286"/>
      <c r="AP148" s="286"/>
    </row>
    <row r="149" spans="1:64" s="2" customFormat="1" ht="14" x14ac:dyDescent="0.3">
      <c r="B149" s="49" t="s">
        <v>538</v>
      </c>
      <c r="C149" s="2" t="s">
        <v>537</v>
      </c>
      <c r="D149" s="2" t="s">
        <v>1525</v>
      </c>
      <c r="E149" s="2" t="s">
        <v>82</v>
      </c>
      <c r="F149" s="2" t="s">
        <v>1483</v>
      </c>
      <c r="H149" s="34"/>
      <c r="I149" s="5"/>
      <c r="J149" s="5"/>
      <c r="K149" s="34"/>
      <c r="L149" s="34" t="s">
        <v>1504</v>
      </c>
      <c r="M149" s="5">
        <v>1.3758887970838389</v>
      </c>
      <c r="N149" s="5"/>
      <c r="O149" s="34"/>
      <c r="P149" s="251" t="s">
        <v>1484</v>
      </c>
      <c r="Q149" s="252" t="s">
        <v>87</v>
      </c>
      <c r="R149" s="252" t="s">
        <v>502</v>
      </c>
      <c r="S149" s="251" t="s">
        <v>1485</v>
      </c>
      <c r="T149" s="251" t="s">
        <v>1486</v>
      </c>
      <c r="U149" s="251" t="s">
        <v>13</v>
      </c>
      <c r="V149" s="286" t="s">
        <v>1487</v>
      </c>
      <c r="W149" s="286"/>
      <c r="X149" s="286"/>
      <c r="Y149" s="286"/>
      <c r="Z149" s="286"/>
      <c r="AA149" s="286"/>
      <c r="AB149" s="286"/>
      <c r="AC149" s="286"/>
      <c r="AD149" s="286"/>
      <c r="AE149" s="286"/>
      <c r="AF149" s="286"/>
      <c r="AG149" s="286"/>
      <c r="AH149" s="286"/>
      <c r="AI149" s="286"/>
      <c r="AJ149" s="286"/>
      <c r="AK149" s="286"/>
      <c r="AL149" s="286"/>
      <c r="AM149" s="286"/>
      <c r="AN149" s="286"/>
      <c r="AO149" s="286"/>
      <c r="AP149" s="286"/>
    </row>
    <row r="150" spans="1:64" s="2" customFormat="1" ht="14" x14ac:dyDescent="0.3">
      <c r="B150" s="49" t="s">
        <v>538</v>
      </c>
      <c r="C150" s="2" t="s">
        <v>537</v>
      </c>
      <c r="D150" s="2" t="s">
        <v>1526</v>
      </c>
      <c r="E150" s="2" t="s">
        <v>82</v>
      </c>
      <c r="F150" s="2" t="s">
        <v>1483</v>
      </c>
      <c r="H150" s="34"/>
      <c r="I150" s="5">
        <v>0.75</v>
      </c>
      <c r="J150" s="5"/>
      <c r="K150" s="34"/>
      <c r="L150" s="34" t="s">
        <v>1529</v>
      </c>
      <c r="M150" s="5">
        <v>1.2107918315125208</v>
      </c>
      <c r="N150" s="5"/>
      <c r="O150" s="34"/>
      <c r="P150" s="251" t="s">
        <v>1484</v>
      </c>
      <c r="Q150" s="252" t="s">
        <v>87</v>
      </c>
      <c r="R150" s="252" t="s">
        <v>502</v>
      </c>
      <c r="S150" s="251" t="s">
        <v>1485</v>
      </c>
      <c r="T150" s="251" t="s">
        <v>1486</v>
      </c>
      <c r="U150" s="251" t="s">
        <v>13</v>
      </c>
      <c r="V150" s="286" t="s">
        <v>1487</v>
      </c>
      <c r="W150" s="286"/>
      <c r="X150" s="286"/>
      <c r="Y150" s="286"/>
      <c r="Z150" s="286"/>
      <c r="AA150" s="286"/>
      <c r="AB150" s="286"/>
      <c r="AC150" s="286"/>
      <c r="AD150" s="286"/>
      <c r="AE150" s="286"/>
      <c r="AF150" s="286"/>
      <c r="AG150" s="286"/>
      <c r="AH150" s="286"/>
      <c r="AI150" s="286"/>
      <c r="AJ150" s="286"/>
      <c r="AK150" s="286"/>
      <c r="AL150" s="286"/>
      <c r="AM150" s="286"/>
      <c r="AN150" s="286"/>
      <c r="AO150" s="286"/>
      <c r="AP150" s="286"/>
    </row>
    <row r="151" spans="1:64" s="2" customFormat="1" ht="14" x14ac:dyDescent="0.3">
      <c r="B151" s="49" t="s">
        <v>538</v>
      </c>
      <c r="C151" s="2" t="s">
        <v>537</v>
      </c>
      <c r="D151" s="2" t="s">
        <v>1527</v>
      </c>
      <c r="E151" s="2" t="s">
        <v>82</v>
      </c>
      <c r="F151" s="2" t="s">
        <v>1483</v>
      </c>
      <c r="H151" s="34"/>
      <c r="I151" s="5"/>
      <c r="J151" s="5"/>
      <c r="K151" s="34"/>
      <c r="L151" s="34" t="s">
        <v>1530</v>
      </c>
      <c r="M151" s="5">
        <v>1.3756873088216404</v>
      </c>
      <c r="N151" s="5"/>
      <c r="O151" s="34"/>
      <c r="P151" s="251" t="s">
        <v>1484</v>
      </c>
      <c r="Q151" s="252" t="s">
        <v>87</v>
      </c>
      <c r="R151" s="252" t="s">
        <v>502</v>
      </c>
      <c r="S151" s="251" t="s">
        <v>1485</v>
      </c>
      <c r="T151" s="251" t="s">
        <v>1486</v>
      </c>
      <c r="U151" s="251" t="s">
        <v>13</v>
      </c>
      <c r="V151" s="286" t="s">
        <v>1487</v>
      </c>
      <c r="W151" s="286"/>
      <c r="X151" s="286"/>
      <c r="Y151" s="286"/>
      <c r="Z151" s="286"/>
      <c r="AA151" s="286"/>
      <c r="AB151" s="286"/>
      <c r="AC151" s="286"/>
      <c r="AD151" s="286"/>
      <c r="AE151" s="286"/>
      <c r="AF151" s="286"/>
      <c r="AG151" s="286"/>
      <c r="AH151" s="286"/>
      <c r="AI151" s="286"/>
      <c r="AJ151" s="286"/>
      <c r="AK151" s="286"/>
      <c r="AL151" s="286"/>
      <c r="AM151" s="286"/>
      <c r="AN151" s="286"/>
      <c r="AO151" s="286"/>
      <c r="AP151" s="286"/>
    </row>
    <row r="152" spans="1:64" x14ac:dyDescent="0.35">
      <c r="A152" s="2"/>
      <c r="B152" s="2" t="s">
        <v>538</v>
      </c>
      <c r="C152" s="2" t="s">
        <v>537</v>
      </c>
      <c r="D152" s="2" t="s">
        <v>1742</v>
      </c>
      <c r="E152" s="2" t="s">
        <v>9</v>
      </c>
      <c r="F152" s="2" t="s">
        <v>1483</v>
      </c>
      <c r="G152" s="2"/>
      <c r="H152" s="34"/>
      <c r="I152" s="5"/>
      <c r="J152" s="5"/>
      <c r="K152" s="34"/>
      <c r="L152" s="34"/>
      <c r="M152" s="5">
        <v>1.25</v>
      </c>
      <c r="N152" s="5">
        <v>0.17</v>
      </c>
      <c r="O152" s="34">
        <v>46</v>
      </c>
      <c r="P152" s="2"/>
      <c r="Q152" s="39"/>
      <c r="R152" s="2" t="s">
        <v>502</v>
      </c>
      <c r="S152" s="2" t="s">
        <v>1734</v>
      </c>
      <c r="T152" s="2"/>
      <c r="U152" s="2" t="s">
        <v>13</v>
      </c>
      <c r="V152" s="44" t="s">
        <v>1735</v>
      </c>
      <c r="W152" s="2"/>
    </row>
    <row r="153" spans="1:64" x14ac:dyDescent="0.35">
      <c r="A153" s="2"/>
      <c r="B153" s="2" t="s">
        <v>538</v>
      </c>
      <c r="C153" s="2" t="s">
        <v>537</v>
      </c>
      <c r="D153" s="2" t="s">
        <v>1772</v>
      </c>
      <c r="E153" s="2" t="s">
        <v>82</v>
      </c>
      <c r="F153" s="2" t="s">
        <v>1763</v>
      </c>
      <c r="G153" s="2" t="s">
        <v>1024</v>
      </c>
      <c r="H153" s="34"/>
      <c r="I153" s="5">
        <v>0.39079333333333333</v>
      </c>
      <c r="J153" s="5">
        <v>0.27633261604249487</v>
      </c>
      <c r="K153" s="34">
        <v>1</v>
      </c>
      <c r="L153" s="34"/>
      <c r="M153" s="5"/>
      <c r="N153" s="5"/>
      <c r="O153" s="34"/>
      <c r="P153" s="2" t="s">
        <v>798</v>
      </c>
      <c r="Q153" s="42" t="s">
        <v>1139</v>
      </c>
      <c r="R153" s="2" t="s">
        <v>1765</v>
      </c>
      <c r="S153" s="2" t="s">
        <v>1766</v>
      </c>
      <c r="T153" s="2"/>
      <c r="U153" s="2" t="s">
        <v>24</v>
      </c>
      <c r="V153" s="44" t="s">
        <v>1790</v>
      </c>
      <c r="W153" s="2"/>
    </row>
    <row r="154" spans="1:64" s="2" customFormat="1" ht="14" x14ac:dyDescent="0.3">
      <c r="B154" s="49" t="s">
        <v>538</v>
      </c>
      <c r="C154" s="2" t="s">
        <v>537</v>
      </c>
      <c r="D154" s="2" t="s">
        <v>90</v>
      </c>
      <c r="E154" s="2" t="s">
        <v>82</v>
      </c>
      <c r="F154" s="2" t="s">
        <v>122</v>
      </c>
      <c r="G154" s="2" t="s">
        <v>375</v>
      </c>
      <c r="H154" s="34"/>
      <c r="I154" s="5">
        <v>0.68</v>
      </c>
      <c r="J154" s="5"/>
      <c r="K154" s="34">
        <v>1</v>
      </c>
      <c r="L154" s="34"/>
      <c r="M154" s="5">
        <v>1.24</v>
      </c>
      <c r="N154" s="5">
        <v>0.15</v>
      </c>
      <c r="O154" s="34"/>
      <c r="P154" s="2" t="s">
        <v>120</v>
      </c>
      <c r="Q154" s="39" t="s">
        <v>119</v>
      </c>
      <c r="R154" s="2" t="s">
        <v>15</v>
      </c>
      <c r="S154" s="2" t="s">
        <v>118</v>
      </c>
      <c r="U154" s="2" t="s">
        <v>13</v>
      </c>
      <c r="V154" s="44" t="s">
        <v>117</v>
      </c>
    </row>
    <row r="155" spans="1:64" s="7" customFormat="1" ht="14" x14ac:dyDescent="0.3">
      <c r="A155" s="7" t="s">
        <v>906</v>
      </c>
      <c r="C155" s="7" t="s">
        <v>537</v>
      </c>
      <c r="E155" s="7" t="s">
        <v>82</v>
      </c>
      <c r="H155" s="33"/>
      <c r="I155" s="8">
        <f>AVERAGE(I147:I154)</f>
        <v>0.69519833333333336</v>
      </c>
      <c r="J155" s="8">
        <f>STDEV(I147:I154)/SQRT(COUNT(I147:I154))</f>
        <v>0.11762105065987696</v>
      </c>
      <c r="K155" s="33"/>
      <c r="L155" s="33"/>
      <c r="M155" s="8">
        <f>AVERAGE(M147:M154)</f>
        <v>1.2877189463537173</v>
      </c>
      <c r="N155" s="8">
        <f>STDEV(M147:M154)/SQRT(COUNT(M147:M154))</f>
        <v>2.9051479778636095E-2</v>
      </c>
      <c r="O155" s="33"/>
      <c r="Q155" s="38"/>
      <c r="V155" s="13"/>
    </row>
    <row r="156" spans="1:64" x14ac:dyDescent="0.35">
      <c r="A156" s="2"/>
      <c r="B156" s="2" t="s">
        <v>538</v>
      </c>
      <c r="C156" s="2" t="s">
        <v>537</v>
      </c>
      <c r="D156" s="2" t="s">
        <v>1772</v>
      </c>
      <c r="E156" s="2" t="s">
        <v>20</v>
      </c>
      <c r="F156" s="2" t="s">
        <v>1763</v>
      </c>
      <c r="G156" s="2" t="s">
        <v>1792</v>
      </c>
      <c r="H156" s="34"/>
      <c r="I156" s="235">
        <v>0.32320325581395354</v>
      </c>
      <c r="J156" s="5">
        <v>9.8524586683106624E-2</v>
      </c>
      <c r="K156" s="34">
        <v>5</v>
      </c>
      <c r="L156" s="34"/>
      <c r="M156" s="5"/>
      <c r="N156" s="5"/>
      <c r="O156" s="34"/>
      <c r="P156" s="2" t="s">
        <v>798</v>
      </c>
      <c r="Q156" s="42" t="s">
        <v>1139</v>
      </c>
      <c r="R156" s="2" t="s">
        <v>1765</v>
      </c>
      <c r="S156" s="2" t="s">
        <v>1766</v>
      </c>
      <c r="T156" s="2"/>
      <c r="U156" s="2" t="s">
        <v>24</v>
      </c>
      <c r="V156" s="44" t="s">
        <v>1767</v>
      </c>
      <c r="W156" s="2"/>
    </row>
    <row r="157" spans="1:64" x14ac:dyDescent="0.35">
      <c r="A157" s="2"/>
      <c r="B157" s="2" t="s">
        <v>538</v>
      </c>
      <c r="C157" s="2" t="s">
        <v>537</v>
      </c>
      <c r="D157" s="2" t="s">
        <v>1772</v>
      </c>
      <c r="E157" s="2" t="s">
        <v>20</v>
      </c>
      <c r="F157" s="2" t="s">
        <v>1763</v>
      </c>
      <c r="G157" s="2" t="s">
        <v>1701</v>
      </c>
      <c r="H157" s="34"/>
      <c r="I157" s="5">
        <v>0.59663509545957916</v>
      </c>
      <c r="J157" s="5">
        <v>0.31552573462896677</v>
      </c>
      <c r="K157" s="34">
        <v>5</v>
      </c>
      <c r="L157" s="34"/>
      <c r="M157" s="5"/>
      <c r="N157" s="5"/>
      <c r="O157" s="34"/>
      <c r="P157" s="2" t="s">
        <v>798</v>
      </c>
      <c r="Q157" s="42" t="s">
        <v>1139</v>
      </c>
      <c r="R157" s="2" t="s">
        <v>1765</v>
      </c>
      <c r="S157" s="2" t="s">
        <v>1766</v>
      </c>
      <c r="T157" s="2"/>
      <c r="U157" s="2" t="s">
        <v>24</v>
      </c>
      <c r="V157" s="44" t="s">
        <v>1767</v>
      </c>
      <c r="W157" s="2"/>
    </row>
    <row r="158" spans="1:64" s="7" customFormat="1" ht="14" x14ac:dyDescent="0.3">
      <c r="A158" s="7" t="s">
        <v>905</v>
      </c>
      <c r="C158" s="7" t="s">
        <v>537</v>
      </c>
      <c r="E158" s="7" t="s">
        <v>20</v>
      </c>
      <c r="H158" s="33"/>
      <c r="I158" s="8">
        <f>AVERAGE(I157)</f>
        <v>0.59663509545957916</v>
      </c>
      <c r="J158" s="8">
        <f>J157/SQRT(K157)</f>
        <v>0.14110739825618582</v>
      </c>
      <c r="K158" s="33"/>
      <c r="L158" s="33"/>
      <c r="M158" s="8"/>
      <c r="N158" s="8"/>
      <c r="O158" s="33"/>
      <c r="Q158" s="38"/>
      <c r="V158" s="13"/>
    </row>
    <row r="159" spans="1:64" s="2" customFormat="1" ht="14" x14ac:dyDescent="0.3">
      <c r="B159" s="2" t="s">
        <v>1520</v>
      </c>
      <c r="C159" s="2" t="s">
        <v>1521</v>
      </c>
      <c r="D159" s="2" t="s">
        <v>1522</v>
      </c>
      <c r="E159" s="2" t="s">
        <v>82</v>
      </c>
      <c r="F159" s="2" t="s">
        <v>1483</v>
      </c>
      <c r="H159" s="34"/>
      <c r="I159" s="5"/>
      <c r="J159" s="5"/>
      <c r="K159" s="34"/>
      <c r="L159" s="34" t="s">
        <v>1523</v>
      </c>
      <c r="M159" s="5">
        <v>1.1000000000000001</v>
      </c>
      <c r="N159" s="5"/>
      <c r="O159" s="34"/>
      <c r="Q159" s="39"/>
      <c r="V159" s="44"/>
    </row>
    <row r="160" spans="1:64" s="7" customFormat="1" ht="14" x14ac:dyDescent="0.3">
      <c r="A160" s="7" t="s">
        <v>1644</v>
      </c>
      <c r="C160" s="7" t="s">
        <v>1521</v>
      </c>
      <c r="E160" s="7" t="s">
        <v>34</v>
      </c>
      <c r="H160" s="33"/>
      <c r="I160" s="8"/>
      <c r="J160" s="8"/>
      <c r="K160" s="33"/>
      <c r="L160" s="33"/>
      <c r="M160" s="8">
        <f>AVERAGE(M159)</f>
        <v>1.1000000000000001</v>
      </c>
      <c r="N160" s="8">
        <f>(1.14-M159)/2</f>
        <v>1.9999999999999907E-2</v>
      </c>
      <c r="O160" s="33"/>
      <c r="Q160" s="38"/>
      <c r="V160" s="13"/>
    </row>
    <row r="161" spans="1:64" x14ac:dyDescent="0.35">
      <c r="A161" s="2"/>
      <c r="B161" s="3" t="s">
        <v>564</v>
      </c>
      <c r="C161" s="3" t="s">
        <v>590</v>
      </c>
      <c r="D161" s="3" t="s">
        <v>589</v>
      </c>
      <c r="E161" s="3" t="s">
        <v>563</v>
      </c>
      <c r="F161" s="3" t="s">
        <v>329</v>
      </c>
      <c r="I161" s="4">
        <v>0.2</v>
      </c>
      <c r="K161" s="32">
        <v>1</v>
      </c>
      <c r="M161" s="4">
        <v>1.99</v>
      </c>
      <c r="O161" s="32">
        <v>1</v>
      </c>
      <c r="P161" s="3" t="s">
        <v>28</v>
      </c>
      <c r="Q161" s="26" t="s">
        <v>245</v>
      </c>
      <c r="R161" s="3" t="s">
        <v>26</v>
      </c>
      <c r="S161" s="3" t="s">
        <v>25</v>
      </c>
      <c r="U161" s="3" t="s">
        <v>24</v>
      </c>
      <c r="V161" s="10" t="s">
        <v>23</v>
      </c>
    </row>
    <row r="162" spans="1:64" x14ac:dyDescent="0.35">
      <c r="A162" s="2"/>
      <c r="B162" s="3" t="s">
        <v>564</v>
      </c>
      <c r="C162" s="3" t="s">
        <v>590</v>
      </c>
      <c r="D162" s="3" t="s">
        <v>589</v>
      </c>
      <c r="E162" s="2" t="s">
        <v>563</v>
      </c>
      <c r="F162" s="3" t="s">
        <v>70</v>
      </c>
      <c r="I162" s="4">
        <v>1.1000000000000001</v>
      </c>
      <c r="K162" s="32">
        <v>1</v>
      </c>
      <c r="P162" s="6" t="s">
        <v>74</v>
      </c>
      <c r="Q162" s="26" t="s">
        <v>1139</v>
      </c>
      <c r="R162" s="3" t="s">
        <v>66</v>
      </c>
      <c r="S162" s="3" t="s">
        <v>65</v>
      </c>
      <c r="U162" s="3" t="s">
        <v>37</v>
      </c>
      <c r="V162" s="10" t="s">
        <v>72</v>
      </c>
    </row>
    <row r="163" spans="1:64" x14ac:dyDescent="0.35">
      <c r="A163" s="2"/>
      <c r="B163" s="3" t="s">
        <v>564</v>
      </c>
      <c r="C163" s="3" t="s">
        <v>590</v>
      </c>
      <c r="D163" s="3" t="s">
        <v>575</v>
      </c>
      <c r="E163" s="3" t="s">
        <v>563</v>
      </c>
      <c r="F163" s="3" t="s">
        <v>304</v>
      </c>
      <c r="G163" s="3" t="s">
        <v>305</v>
      </c>
      <c r="H163" s="32" t="s">
        <v>579</v>
      </c>
      <c r="I163" s="4">
        <v>1.03</v>
      </c>
      <c r="J163" s="4">
        <v>0.3</v>
      </c>
      <c r="K163" s="32">
        <v>14</v>
      </c>
      <c r="P163" s="3" t="s">
        <v>88</v>
      </c>
      <c r="Q163" s="26" t="s">
        <v>40</v>
      </c>
      <c r="R163" s="3" t="s">
        <v>39</v>
      </c>
      <c r="S163" s="3" t="s">
        <v>273</v>
      </c>
      <c r="U163" s="3" t="s">
        <v>37</v>
      </c>
      <c r="V163" s="10" t="s">
        <v>272</v>
      </c>
    </row>
    <row r="164" spans="1:64" x14ac:dyDescent="0.35">
      <c r="A164" s="2"/>
      <c r="B164" s="3" t="s">
        <v>564</v>
      </c>
      <c r="C164" s="3" t="s">
        <v>590</v>
      </c>
      <c r="D164" s="3" t="s">
        <v>575</v>
      </c>
      <c r="E164" s="3" t="s">
        <v>563</v>
      </c>
      <c r="F164" s="3" t="s">
        <v>304</v>
      </c>
      <c r="G164" s="3" t="s">
        <v>305</v>
      </c>
      <c r="H164" s="32" t="s">
        <v>1066</v>
      </c>
      <c r="I164" s="4">
        <v>1.65</v>
      </c>
      <c r="K164" s="32">
        <v>28</v>
      </c>
      <c r="P164" s="3" t="s">
        <v>88</v>
      </c>
      <c r="Q164" s="26" t="s">
        <v>40</v>
      </c>
      <c r="R164" s="3" t="s">
        <v>39</v>
      </c>
      <c r="S164" s="3" t="s">
        <v>273</v>
      </c>
      <c r="U164" s="3" t="s">
        <v>37</v>
      </c>
      <c r="V164" s="10" t="s">
        <v>578</v>
      </c>
    </row>
    <row r="165" spans="1:64" x14ac:dyDescent="0.35">
      <c r="A165" s="2"/>
      <c r="B165" s="3" t="s">
        <v>564</v>
      </c>
      <c r="C165" s="3" t="s">
        <v>590</v>
      </c>
      <c r="D165" s="3" t="s">
        <v>575</v>
      </c>
      <c r="E165" s="3" t="s">
        <v>563</v>
      </c>
      <c r="F165" s="3" t="s">
        <v>42</v>
      </c>
      <c r="G165" s="3" t="s">
        <v>577</v>
      </c>
      <c r="H165" s="32" t="s">
        <v>576</v>
      </c>
      <c r="I165" s="4">
        <v>0.46</v>
      </c>
      <c r="K165" s="32">
        <v>10</v>
      </c>
      <c r="P165" s="3" t="s">
        <v>41</v>
      </c>
      <c r="Q165" s="26" t="s">
        <v>40</v>
      </c>
      <c r="R165" s="3" t="s">
        <v>39</v>
      </c>
      <c r="S165" s="3" t="s">
        <v>38</v>
      </c>
      <c r="U165" s="3" t="s">
        <v>37</v>
      </c>
      <c r="V165" s="10" t="s">
        <v>36</v>
      </c>
    </row>
    <row r="166" spans="1:64" x14ac:dyDescent="0.35">
      <c r="A166" s="2"/>
      <c r="B166" s="3" t="s">
        <v>564</v>
      </c>
      <c r="C166" s="3" t="s">
        <v>590</v>
      </c>
      <c r="D166" s="3" t="s">
        <v>575</v>
      </c>
      <c r="E166" s="3" t="s">
        <v>563</v>
      </c>
      <c r="F166" s="3" t="s">
        <v>42</v>
      </c>
      <c r="G166" s="3" t="s">
        <v>574</v>
      </c>
      <c r="H166" s="32" t="s">
        <v>573</v>
      </c>
      <c r="I166" s="4">
        <v>1.64</v>
      </c>
      <c r="K166" s="32">
        <v>28</v>
      </c>
      <c r="P166" s="3" t="s">
        <v>41</v>
      </c>
      <c r="Q166" s="26" t="s">
        <v>40</v>
      </c>
      <c r="R166" s="3" t="s">
        <v>39</v>
      </c>
      <c r="S166" s="3" t="s">
        <v>38</v>
      </c>
      <c r="U166" s="3" t="s">
        <v>37</v>
      </c>
      <c r="V166" s="10" t="s">
        <v>36</v>
      </c>
    </row>
    <row r="167" spans="1:64" x14ac:dyDescent="0.35">
      <c r="A167" s="2"/>
      <c r="B167" s="3" t="s">
        <v>564</v>
      </c>
      <c r="C167" s="3" t="s">
        <v>588</v>
      </c>
      <c r="D167" s="3" t="s">
        <v>587</v>
      </c>
      <c r="E167" s="2" t="s">
        <v>563</v>
      </c>
      <c r="F167" s="3" t="s">
        <v>31</v>
      </c>
      <c r="G167" s="3" t="s">
        <v>586</v>
      </c>
      <c r="H167" s="32" t="s">
        <v>585</v>
      </c>
      <c r="I167" s="4">
        <v>0.56999999999999995</v>
      </c>
      <c r="J167" s="4">
        <v>0.45</v>
      </c>
      <c r="K167" s="32">
        <v>82</v>
      </c>
      <c r="P167" s="6"/>
      <c r="Q167" s="26" t="s">
        <v>584</v>
      </c>
      <c r="R167" s="3" t="s">
        <v>112</v>
      </c>
      <c r="S167" s="3" t="s">
        <v>583</v>
      </c>
      <c r="U167" s="3" t="s">
        <v>13</v>
      </c>
      <c r="V167" s="10" t="s">
        <v>582</v>
      </c>
    </row>
    <row r="168" spans="1:64" x14ac:dyDescent="0.35">
      <c r="A168" s="2"/>
      <c r="B168" s="3" t="s">
        <v>564</v>
      </c>
      <c r="C168" s="3" t="s">
        <v>581</v>
      </c>
      <c r="D168" s="3" t="s">
        <v>580</v>
      </c>
      <c r="E168" s="2" t="s">
        <v>563</v>
      </c>
      <c r="F168" s="3" t="s">
        <v>70</v>
      </c>
      <c r="I168" s="4">
        <v>1</v>
      </c>
      <c r="K168" s="32">
        <v>1</v>
      </c>
      <c r="P168" s="6" t="s">
        <v>74</v>
      </c>
      <c r="Q168" s="26" t="s">
        <v>1139</v>
      </c>
      <c r="R168" s="3" t="s">
        <v>66</v>
      </c>
      <c r="S168" s="3" t="s">
        <v>65</v>
      </c>
      <c r="U168" s="3" t="s">
        <v>37</v>
      </c>
      <c r="V168" s="10" t="s">
        <v>72</v>
      </c>
    </row>
    <row r="169" spans="1:64" x14ac:dyDescent="0.35">
      <c r="A169" s="2"/>
      <c r="B169" s="3" t="s">
        <v>564</v>
      </c>
      <c r="C169" s="3" t="s">
        <v>572</v>
      </c>
      <c r="D169" s="3" t="s">
        <v>571</v>
      </c>
      <c r="E169" s="2" t="s">
        <v>563</v>
      </c>
      <c r="F169" s="3" t="s">
        <v>304</v>
      </c>
      <c r="H169" s="32" t="s">
        <v>570</v>
      </c>
      <c r="I169" s="4">
        <v>0.34</v>
      </c>
      <c r="J169" s="4">
        <v>0.33</v>
      </c>
      <c r="K169" s="32">
        <v>131</v>
      </c>
      <c r="P169" s="6" t="s">
        <v>114</v>
      </c>
      <c r="Q169" s="26" t="s">
        <v>569</v>
      </c>
      <c r="R169" s="3" t="s">
        <v>251</v>
      </c>
      <c r="S169" s="3" t="s">
        <v>339</v>
      </c>
      <c r="U169" s="3" t="s">
        <v>126</v>
      </c>
      <c r="V169" s="10" t="s">
        <v>568</v>
      </c>
    </row>
    <row r="170" spans="1:64" x14ac:dyDescent="0.35">
      <c r="A170" s="2"/>
      <c r="B170" s="3" t="s">
        <v>564</v>
      </c>
      <c r="C170" s="3" t="s">
        <v>567</v>
      </c>
      <c r="D170" s="3" t="s">
        <v>566</v>
      </c>
      <c r="E170" s="2" t="s">
        <v>563</v>
      </c>
      <c r="F170" s="3" t="s">
        <v>229</v>
      </c>
      <c r="I170" s="4">
        <v>1.2</v>
      </c>
      <c r="K170" s="32">
        <v>1</v>
      </c>
      <c r="P170" s="6" t="s">
        <v>74</v>
      </c>
      <c r="Q170" s="26" t="s">
        <v>565</v>
      </c>
      <c r="R170" s="3" t="s">
        <v>66</v>
      </c>
      <c r="S170" s="3" t="s">
        <v>65</v>
      </c>
      <c r="U170" s="3" t="s">
        <v>37</v>
      </c>
      <c r="V170" s="10" t="s">
        <v>72</v>
      </c>
    </row>
    <row r="171" spans="1:64" s="58" customFormat="1" x14ac:dyDescent="0.35">
      <c r="A171" s="15" t="s">
        <v>1141</v>
      </c>
      <c r="B171" s="15" t="s">
        <v>564</v>
      </c>
      <c r="C171" s="15"/>
      <c r="D171" s="15"/>
      <c r="E171" s="15" t="s">
        <v>563</v>
      </c>
      <c r="F171" s="15"/>
      <c r="G171" s="15"/>
      <c r="H171" s="35"/>
      <c r="I171" s="16">
        <f>AVERAGE(I161:I170)</f>
        <v>0.91899999999999993</v>
      </c>
      <c r="J171" s="16">
        <f>STDEV(I161:I170)/SQRT(COUNT(I161:I170))</f>
        <v>0.16225802496846395</v>
      </c>
      <c r="K171" s="35"/>
      <c r="L171" s="35"/>
      <c r="M171" s="16">
        <f>AVERAGE(M161:M170)</f>
        <v>1.99</v>
      </c>
      <c r="N171" s="16">
        <f>IF(COUNT(M161:M170)=1,SUM(N161:N170),STDEV(M161:M170))</f>
        <v>0</v>
      </c>
      <c r="O171" s="35"/>
      <c r="P171" s="17"/>
      <c r="Q171" s="41"/>
      <c r="R171" s="15"/>
      <c r="S171" s="15"/>
      <c r="T171" s="15"/>
      <c r="U171" s="15"/>
      <c r="V171" s="46"/>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row>
    <row r="172" spans="1:64" s="179" customFormat="1" x14ac:dyDescent="0.35">
      <c r="A172" s="49"/>
      <c r="B172" s="49" t="s">
        <v>1520</v>
      </c>
      <c r="C172" s="49" t="s">
        <v>1531</v>
      </c>
      <c r="D172" s="49" t="s">
        <v>1532</v>
      </c>
      <c r="E172" s="49" t="s">
        <v>82</v>
      </c>
      <c r="F172" s="49" t="s">
        <v>1483</v>
      </c>
      <c r="G172" s="49"/>
      <c r="H172" s="50"/>
      <c r="I172" s="48"/>
      <c r="J172" s="48"/>
      <c r="K172" s="50"/>
      <c r="L172" s="50" t="s">
        <v>1536</v>
      </c>
      <c r="M172" s="48">
        <v>0.86525581028907261</v>
      </c>
      <c r="N172" s="48"/>
      <c r="O172" s="50"/>
      <c r="P172" s="251" t="s">
        <v>1484</v>
      </c>
      <c r="Q172" s="252" t="s">
        <v>87</v>
      </c>
      <c r="R172" s="252" t="s">
        <v>502</v>
      </c>
      <c r="S172" s="251" t="s">
        <v>1485</v>
      </c>
      <c r="T172" s="251" t="s">
        <v>1486</v>
      </c>
      <c r="U172" s="251" t="s">
        <v>13</v>
      </c>
      <c r="V172" s="286" t="s">
        <v>1487</v>
      </c>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row>
    <row r="173" spans="1:64" s="179" customFormat="1" x14ac:dyDescent="0.35">
      <c r="A173" s="49"/>
      <c r="B173" s="49" t="s">
        <v>1520</v>
      </c>
      <c r="C173" s="49" t="s">
        <v>1531</v>
      </c>
      <c r="D173" s="49" t="s">
        <v>1533</v>
      </c>
      <c r="E173" s="49" t="s">
        <v>82</v>
      </c>
      <c r="F173" s="49" t="s">
        <v>1483</v>
      </c>
      <c r="G173" s="49"/>
      <c r="H173" s="50"/>
      <c r="I173" s="48"/>
      <c r="J173" s="48"/>
      <c r="K173" s="50"/>
      <c r="L173" s="50" t="s">
        <v>1537</v>
      </c>
      <c r="M173" s="48">
        <v>1.032276577165812</v>
      </c>
      <c r="N173" s="48"/>
      <c r="O173" s="50"/>
      <c r="P173" s="251" t="s">
        <v>1484</v>
      </c>
      <c r="Q173" s="252" t="s">
        <v>87</v>
      </c>
      <c r="R173" s="252" t="s">
        <v>502</v>
      </c>
      <c r="S173" s="251" t="s">
        <v>1485</v>
      </c>
      <c r="T173" s="251" t="s">
        <v>1486</v>
      </c>
      <c r="U173" s="251" t="s">
        <v>13</v>
      </c>
      <c r="V173" s="286" t="s">
        <v>1487</v>
      </c>
      <c r="W173" s="286"/>
      <c r="X173" s="286"/>
      <c r="Y173" s="286"/>
      <c r="Z173" s="286"/>
      <c r="AA173" s="286"/>
      <c r="AB173" s="286"/>
      <c r="AC173" s="286"/>
      <c r="AD173" s="286"/>
      <c r="AE173" s="286"/>
      <c r="AF173" s="286"/>
      <c r="AG173" s="286"/>
      <c r="AH173" s="286"/>
      <c r="AI173" s="286"/>
      <c r="AJ173" s="286"/>
      <c r="AK173" s="286"/>
      <c r="AL173" s="286"/>
      <c r="AM173" s="286"/>
      <c r="AN173" s="286"/>
      <c r="AO173" s="286"/>
      <c r="AP173" s="286"/>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row>
    <row r="174" spans="1:64" s="179" customFormat="1" x14ac:dyDescent="0.35">
      <c r="A174" s="2"/>
      <c r="B174" s="2" t="s">
        <v>456</v>
      </c>
      <c r="C174" s="2" t="s">
        <v>455</v>
      </c>
      <c r="D174" s="2" t="s">
        <v>90</v>
      </c>
      <c r="E174" s="2" t="s">
        <v>82</v>
      </c>
      <c r="F174" s="2" t="s">
        <v>122</v>
      </c>
      <c r="G174" s="2"/>
      <c r="H174" s="34" t="s">
        <v>1534</v>
      </c>
      <c r="I174" s="5">
        <v>0.9</v>
      </c>
      <c r="J174" s="5">
        <v>0.09</v>
      </c>
      <c r="K174" s="34">
        <v>2</v>
      </c>
      <c r="L174" s="34"/>
      <c r="M174" s="5">
        <v>1.91</v>
      </c>
      <c r="N174" s="5">
        <v>0.27</v>
      </c>
      <c r="O174" s="34">
        <v>3</v>
      </c>
      <c r="P174" s="2" t="s">
        <v>120</v>
      </c>
      <c r="Q174" s="39" t="s">
        <v>119</v>
      </c>
      <c r="R174" s="2" t="s">
        <v>15</v>
      </c>
      <c r="S174" s="2" t="s">
        <v>118</v>
      </c>
      <c r="T174" s="2"/>
      <c r="U174" s="2" t="s">
        <v>13</v>
      </c>
      <c r="V174" s="44" t="s">
        <v>1535</v>
      </c>
      <c r="W174" s="2"/>
      <c r="X174" s="2"/>
      <c r="Y174" s="2"/>
      <c r="Z174" s="2"/>
      <c r="AA174" s="2"/>
      <c r="AB174" s="2"/>
      <c r="AC174" s="2"/>
      <c r="AD174" s="2"/>
      <c r="AE174" s="2"/>
      <c r="AF174" s="2"/>
      <c r="AG174" s="2"/>
      <c r="AH174" s="2"/>
      <c r="AI174" s="2"/>
      <c r="AJ174" s="2"/>
      <c r="AK174" s="2"/>
      <c r="AL174" s="2"/>
      <c r="AM174" s="2"/>
      <c r="AN174" s="2"/>
      <c r="AO174" s="2"/>
      <c r="AP174" s="2"/>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row>
    <row r="175" spans="1:64" x14ac:dyDescent="0.35">
      <c r="A175" s="2"/>
      <c r="B175" s="2" t="s">
        <v>1520</v>
      </c>
      <c r="C175" s="2" t="s">
        <v>1531</v>
      </c>
      <c r="D175" s="2" t="s">
        <v>807</v>
      </c>
      <c r="E175" s="2" t="s">
        <v>82</v>
      </c>
      <c r="F175" s="2" t="s">
        <v>1763</v>
      </c>
      <c r="G175" s="2"/>
      <c r="H175" s="34"/>
      <c r="I175" s="5">
        <v>0.63</v>
      </c>
      <c r="J175" s="5"/>
      <c r="K175" s="34">
        <v>1</v>
      </c>
      <c r="L175" s="34"/>
      <c r="M175" s="5"/>
      <c r="N175" s="5"/>
      <c r="O175" s="34"/>
      <c r="P175" s="2" t="s">
        <v>798</v>
      </c>
      <c r="Q175" s="42" t="s">
        <v>1139</v>
      </c>
      <c r="R175" s="2" t="s">
        <v>1765</v>
      </c>
      <c r="S175" s="2" t="s">
        <v>1766</v>
      </c>
      <c r="T175" s="2"/>
      <c r="U175" s="2" t="s">
        <v>24</v>
      </c>
      <c r="V175" s="44" t="s">
        <v>1790</v>
      </c>
      <c r="W175" s="2"/>
    </row>
    <row r="176" spans="1:64" s="7" customFormat="1" ht="14" x14ac:dyDescent="0.3">
      <c r="A176" s="7" t="s">
        <v>909</v>
      </c>
      <c r="C176" s="7" t="s">
        <v>455</v>
      </c>
      <c r="E176" s="7" t="s">
        <v>82</v>
      </c>
      <c r="H176" s="33"/>
      <c r="I176" s="8">
        <f>AVERAGE(I172:I175)</f>
        <v>0.76500000000000001</v>
      </c>
      <c r="J176" s="8">
        <f>STDEV(I172:I175)/SQRT(COUNT(I172:I175))</f>
        <v>0.13500000000000015</v>
      </c>
      <c r="K176" s="33"/>
      <c r="L176" s="33"/>
      <c r="M176" s="8">
        <f>AVERAGE(M172:M175)</f>
        <v>1.2691774624849614</v>
      </c>
      <c r="N176" s="8">
        <f>STDEV(M172:M175)/SQRT(COUNT(M172:M175))</f>
        <v>0.32401858361439384</v>
      </c>
      <c r="O176" s="33"/>
      <c r="Q176" s="38"/>
      <c r="V176" s="13"/>
    </row>
    <row r="177" spans="1:42" s="2" customFormat="1" ht="14" x14ac:dyDescent="0.3">
      <c r="B177" s="3" t="s">
        <v>610</v>
      </c>
      <c r="C177" s="3" t="s">
        <v>647</v>
      </c>
      <c r="D177" s="3" t="s">
        <v>650</v>
      </c>
      <c r="E177" s="3" t="s">
        <v>82</v>
      </c>
      <c r="F177" s="3" t="s">
        <v>31</v>
      </c>
      <c r="G177" s="3"/>
      <c r="H177" s="32" t="s">
        <v>651</v>
      </c>
      <c r="I177" s="4">
        <v>1.04</v>
      </c>
      <c r="J177" s="4">
        <v>7.3999999999999996E-2</v>
      </c>
      <c r="K177" s="32">
        <v>15</v>
      </c>
      <c r="L177" s="32"/>
      <c r="M177" s="4"/>
      <c r="N177" s="4"/>
      <c r="O177" s="32"/>
      <c r="P177" s="6" t="s">
        <v>74</v>
      </c>
      <c r="Q177" s="26" t="s">
        <v>77</v>
      </c>
      <c r="R177" s="3" t="s">
        <v>51</v>
      </c>
      <c r="S177" s="3" t="s">
        <v>76</v>
      </c>
      <c r="T177" s="3"/>
      <c r="U177" s="3" t="s">
        <v>48</v>
      </c>
      <c r="V177" s="10" t="s">
        <v>75</v>
      </c>
      <c r="W177" s="3"/>
    </row>
    <row r="178" spans="1:42" s="2" customFormat="1" ht="14" x14ac:dyDescent="0.3">
      <c r="B178" s="3" t="s">
        <v>610</v>
      </c>
      <c r="C178" s="3" t="s">
        <v>647</v>
      </c>
      <c r="D178" s="3" t="s">
        <v>650</v>
      </c>
      <c r="E178" s="3" t="s">
        <v>82</v>
      </c>
      <c r="F178" s="3" t="s">
        <v>329</v>
      </c>
      <c r="G178" s="3"/>
      <c r="H178" s="32" t="s">
        <v>649</v>
      </c>
      <c r="I178" s="4">
        <v>0.61</v>
      </c>
      <c r="J178" s="4"/>
      <c r="K178" s="32">
        <v>9</v>
      </c>
      <c r="L178" s="32" t="s">
        <v>648</v>
      </c>
      <c r="M178" s="4">
        <v>1.63</v>
      </c>
      <c r="N178" s="4"/>
      <c r="O178" s="32">
        <v>9</v>
      </c>
      <c r="P178" s="3" t="s">
        <v>68</v>
      </c>
      <c r="Q178" s="26" t="s">
        <v>77</v>
      </c>
      <c r="R178" s="3" t="s">
        <v>424</v>
      </c>
      <c r="S178" s="3" t="s">
        <v>423</v>
      </c>
      <c r="T178" s="3" t="s">
        <v>422</v>
      </c>
      <c r="U178" s="3" t="s">
        <v>48</v>
      </c>
      <c r="V178" s="29" t="s">
        <v>421</v>
      </c>
      <c r="W178" s="3"/>
    </row>
    <row r="179" spans="1:42" s="2" customFormat="1" ht="14" x14ac:dyDescent="0.3">
      <c r="B179" s="3" t="s">
        <v>610</v>
      </c>
      <c r="C179" s="3" t="s">
        <v>647</v>
      </c>
      <c r="D179" s="3" t="s">
        <v>650</v>
      </c>
      <c r="E179" s="3" t="s">
        <v>82</v>
      </c>
      <c r="F179" s="3" t="s">
        <v>1087</v>
      </c>
      <c r="G179" s="3"/>
      <c r="H179" s="32" t="s">
        <v>1084</v>
      </c>
      <c r="I179" s="4">
        <v>1.32</v>
      </c>
      <c r="J179" s="4"/>
      <c r="K179" s="32"/>
      <c r="L179" s="32"/>
      <c r="M179" s="4"/>
      <c r="N179" s="4"/>
      <c r="O179" s="32"/>
      <c r="P179" s="3"/>
      <c r="Q179" s="37" t="s">
        <v>77</v>
      </c>
      <c r="R179" s="3" t="s">
        <v>424</v>
      </c>
      <c r="S179" s="3" t="s">
        <v>423</v>
      </c>
      <c r="T179" s="3" t="s">
        <v>422</v>
      </c>
      <c r="U179" s="3" t="s">
        <v>48</v>
      </c>
      <c r="V179" s="3" t="s">
        <v>1086</v>
      </c>
    </row>
    <row r="180" spans="1:42" x14ac:dyDescent="0.35">
      <c r="A180" s="2"/>
      <c r="B180" s="2" t="s">
        <v>610</v>
      </c>
      <c r="C180" s="2" t="s">
        <v>647</v>
      </c>
      <c r="D180" s="2" t="s">
        <v>807</v>
      </c>
      <c r="E180" s="2" t="s">
        <v>82</v>
      </c>
      <c r="F180" s="2" t="s">
        <v>1763</v>
      </c>
      <c r="G180" s="2"/>
      <c r="H180" s="34"/>
      <c r="I180" s="5">
        <v>0.37</v>
      </c>
      <c r="J180" s="5"/>
      <c r="K180" s="34">
        <v>1</v>
      </c>
      <c r="L180" s="34"/>
      <c r="M180" s="5"/>
      <c r="N180" s="5"/>
      <c r="O180" s="34"/>
      <c r="P180" s="2" t="s">
        <v>798</v>
      </c>
      <c r="Q180" s="42" t="s">
        <v>1139</v>
      </c>
      <c r="R180" s="2" t="s">
        <v>1765</v>
      </c>
      <c r="S180" s="2" t="s">
        <v>1766</v>
      </c>
      <c r="T180" s="2"/>
      <c r="U180" s="2" t="s">
        <v>24</v>
      </c>
      <c r="V180" s="44" t="s">
        <v>1790</v>
      </c>
      <c r="W180" s="2"/>
    </row>
    <row r="181" spans="1:42" s="7" customFormat="1" ht="14" x14ac:dyDescent="0.3">
      <c r="A181" s="7" t="s">
        <v>913</v>
      </c>
      <c r="C181" s="7" t="s">
        <v>647</v>
      </c>
      <c r="E181" s="7" t="s">
        <v>82</v>
      </c>
      <c r="H181" s="33"/>
      <c r="I181" s="8">
        <f>AVERAGE(I177:I180)</f>
        <v>0.83499999999999996</v>
      </c>
      <c r="J181" s="8">
        <f>STDEV(I177:I180)/SQRT(COUNT(I177:I180))</f>
        <v>0.21293582757879589</v>
      </c>
      <c r="K181" s="33"/>
      <c r="L181" s="33"/>
      <c r="M181" s="8">
        <f>AVERAGE(M177:M179)</f>
        <v>1.63</v>
      </c>
      <c r="N181" s="8">
        <f>(1.8-M178)/SQRT(O178)</f>
        <v>5.6666666666666719E-2</v>
      </c>
      <c r="O181" s="33"/>
      <c r="Q181" s="38"/>
      <c r="V181" s="43"/>
    </row>
    <row r="182" spans="1:42" s="2" customFormat="1" ht="14" x14ac:dyDescent="0.3">
      <c r="B182" s="49" t="s">
        <v>1726</v>
      </c>
      <c r="C182" s="3" t="s">
        <v>1746</v>
      </c>
      <c r="D182" s="3" t="s">
        <v>551</v>
      </c>
      <c r="E182" s="3" t="s">
        <v>338</v>
      </c>
      <c r="F182" s="3" t="s">
        <v>70</v>
      </c>
      <c r="G182" s="3" t="s">
        <v>1024</v>
      </c>
      <c r="H182" s="32"/>
      <c r="I182" s="4">
        <v>1</v>
      </c>
      <c r="J182" s="4">
        <v>0.2</v>
      </c>
      <c r="K182" s="32">
        <v>2</v>
      </c>
      <c r="L182" s="32"/>
      <c r="M182" s="4"/>
      <c r="N182" s="4"/>
      <c r="O182" s="32"/>
      <c r="P182" s="6" t="s">
        <v>74</v>
      </c>
      <c r="Q182" s="26" t="s">
        <v>1130</v>
      </c>
      <c r="R182" s="3" t="s">
        <v>66</v>
      </c>
      <c r="S182" s="3" t="s">
        <v>65</v>
      </c>
      <c r="T182" s="3"/>
      <c r="U182" s="3" t="s">
        <v>37</v>
      </c>
      <c r="V182" s="10" t="s">
        <v>72</v>
      </c>
    </row>
    <row r="183" spans="1:42" s="7" customFormat="1" ht="14" x14ac:dyDescent="0.3">
      <c r="A183" s="7" t="s">
        <v>914</v>
      </c>
      <c r="B183" s="15"/>
      <c r="C183" s="7" t="s">
        <v>518</v>
      </c>
      <c r="E183" s="7" t="s">
        <v>338</v>
      </c>
      <c r="H183" s="33"/>
      <c r="I183" s="8">
        <f>I182</f>
        <v>1</v>
      </c>
      <c r="J183" s="8">
        <f>J182/SQRT(2)</f>
        <v>0.1414213562373095</v>
      </c>
      <c r="K183" s="33"/>
      <c r="L183" s="33"/>
      <c r="M183" s="8"/>
      <c r="N183" s="8"/>
      <c r="O183" s="33"/>
      <c r="P183" s="14"/>
      <c r="Q183" s="38"/>
      <c r="V183" s="13"/>
    </row>
    <row r="184" spans="1:42" s="2" customFormat="1" ht="14" x14ac:dyDescent="0.3">
      <c r="B184" s="2" t="s">
        <v>461</v>
      </c>
      <c r="C184" s="2" t="s">
        <v>518</v>
      </c>
      <c r="D184" s="2" t="s">
        <v>535</v>
      </c>
      <c r="E184" s="2" t="s">
        <v>82</v>
      </c>
      <c r="F184" s="2" t="s">
        <v>59</v>
      </c>
      <c r="H184" s="34" t="s">
        <v>536</v>
      </c>
      <c r="I184" s="5">
        <v>0.41</v>
      </c>
      <c r="J184" s="5">
        <v>0.06</v>
      </c>
      <c r="K184" s="34">
        <v>26</v>
      </c>
      <c r="L184" s="34"/>
      <c r="M184" s="5"/>
      <c r="N184" s="5"/>
      <c r="O184" s="34"/>
      <c r="P184" s="11" t="s">
        <v>74</v>
      </c>
      <c r="Q184" s="39" t="s">
        <v>103</v>
      </c>
      <c r="R184" s="2" t="s">
        <v>4</v>
      </c>
      <c r="S184" s="2" t="s">
        <v>491</v>
      </c>
      <c r="U184" s="2" t="s">
        <v>1215</v>
      </c>
      <c r="V184" s="44" t="s">
        <v>1143</v>
      </c>
    </row>
    <row r="185" spans="1:42" s="2" customFormat="1" ht="14" x14ac:dyDescent="0.3">
      <c r="B185" s="2" t="s">
        <v>461</v>
      </c>
      <c r="C185" s="2" t="s">
        <v>518</v>
      </c>
      <c r="D185" s="2" t="s">
        <v>535</v>
      </c>
      <c r="E185" s="2" t="s">
        <v>82</v>
      </c>
      <c r="F185" s="2" t="s">
        <v>59</v>
      </c>
      <c r="H185" s="34" t="s">
        <v>534</v>
      </c>
      <c r="I185" s="5">
        <v>0.39</v>
      </c>
      <c r="J185" s="5">
        <v>0.06</v>
      </c>
      <c r="K185" s="34">
        <v>20</v>
      </c>
      <c r="L185" s="34"/>
      <c r="M185" s="5"/>
      <c r="N185" s="5"/>
      <c r="O185" s="34"/>
      <c r="P185" s="11" t="s">
        <v>74</v>
      </c>
      <c r="Q185" s="39" t="s">
        <v>103</v>
      </c>
      <c r="R185" s="2" t="s">
        <v>4</v>
      </c>
      <c r="S185" s="2" t="s">
        <v>488</v>
      </c>
      <c r="U185" s="2" t="s">
        <v>1215</v>
      </c>
      <c r="V185" s="44" t="s">
        <v>487</v>
      </c>
    </row>
    <row r="186" spans="1:42" s="2" customFormat="1" ht="14" x14ac:dyDescent="0.3">
      <c r="B186" s="2" t="s">
        <v>461</v>
      </c>
      <c r="C186" s="2" t="s">
        <v>518</v>
      </c>
      <c r="D186" s="2" t="s">
        <v>533</v>
      </c>
      <c r="E186" s="2" t="s">
        <v>82</v>
      </c>
      <c r="F186" s="2" t="s">
        <v>70</v>
      </c>
      <c r="H186" s="34"/>
      <c r="I186" s="5">
        <v>1.25</v>
      </c>
      <c r="J186" s="5">
        <v>0.05</v>
      </c>
      <c r="K186" s="34" t="s">
        <v>69</v>
      </c>
      <c r="L186" s="34"/>
      <c r="M186" s="5"/>
      <c r="N186" s="5"/>
      <c r="O186" s="34"/>
      <c r="P186" s="11" t="s">
        <v>532</v>
      </c>
      <c r="Q186" s="39" t="s">
        <v>67</v>
      </c>
      <c r="R186" s="2" t="s">
        <v>66</v>
      </c>
      <c r="S186" s="2" t="s">
        <v>65</v>
      </c>
      <c r="U186" s="2" t="s">
        <v>37</v>
      </c>
      <c r="V186" s="44" t="s">
        <v>64</v>
      </c>
    </row>
    <row r="187" spans="1:42" s="2" customFormat="1" ht="14" x14ac:dyDescent="0.3">
      <c r="B187" s="2" t="s">
        <v>461</v>
      </c>
      <c r="C187" s="2" t="s">
        <v>518</v>
      </c>
      <c r="D187" s="2" t="s">
        <v>523</v>
      </c>
      <c r="E187" s="2" t="s">
        <v>350</v>
      </c>
      <c r="F187" s="2" t="s">
        <v>70</v>
      </c>
      <c r="H187" s="34" t="s">
        <v>1134</v>
      </c>
      <c r="I187" s="5">
        <v>0.79666666666666663</v>
      </c>
      <c r="J187" s="5">
        <v>0.58226568964119241</v>
      </c>
      <c r="K187" s="34">
        <v>3</v>
      </c>
      <c r="L187" s="34"/>
      <c r="M187" s="5"/>
      <c r="N187" s="5"/>
      <c r="O187" s="34"/>
      <c r="P187" s="11" t="s">
        <v>74</v>
      </c>
      <c r="Q187" s="39" t="s">
        <v>1133</v>
      </c>
      <c r="R187" s="2" t="s">
        <v>66</v>
      </c>
      <c r="S187" s="2" t="s">
        <v>65</v>
      </c>
      <c r="U187" s="2" t="s">
        <v>37</v>
      </c>
      <c r="V187" s="44" t="s">
        <v>72</v>
      </c>
    </row>
    <row r="188" spans="1:42" s="2" customFormat="1" ht="14" x14ac:dyDescent="0.3">
      <c r="B188" s="2" t="s">
        <v>461</v>
      </c>
      <c r="C188" s="2" t="s">
        <v>518</v>
      </c>
      <c r="D188" s="2" t="s">
        <v>523</v>
      </c>
      <c r="E188" s="2" t="s">
        <v>350</v>
      </c>
      <c r="F188" s="2" t="s">
        <v>1483</v>
      </c>
      <c r="H188" s="34"/>
      <c r="I188" s="5"/>
      <c r="J188" s="5"/>
      <c r="K188" s="34"/>
      <c r="L188" s="34" t="s">
        <v>1539</v>
      </c>
      <c r="M188" s="5">
        <v>1.3</v>
      </c>
      <c r="N188" s="5"/>
      <c r="O188" s="34"/>
      <c r="P188" s="251" t="s">
        <v>1484</v>
      </c>
      <c r="Q188" s="252" t="s">
        <v>87</v>
      </c>
      <c r="R188" s="252" t="s">
        <v>502</v>
      </c>
      <c r="S188" s="251" t="s">
        <v>1485</v>
      </c>
      <c r="T188" s="251" t="s">
        <v>1486</v>
      </c>
      <c r="U188" s="251" t="s">
        <v>13</v>
      </c>
      <c r="V188" s="286" t="s">
        <v>1487</v>
      </c>
      <c r="W188" s="286"/>
      <c r="X188" s="286"/>
      <c r="Y188" s="286"/>
      <c r="Z188" s="286"/>
      <c r="AA188" s="286"/>
      <c r="AB188" s="286"/>
      <c r="AC188" s="286"/>
      <c r="AD188" s="286"/>
      <c r="AE188" s="286"/>
      <c r="AF188" s="286"/>
      <c r="AG188" s="286"/>
      <c r="AH188" s="286"/>
      <c r="AI188" s="286"/>
      <c r="AJ188" s="286"/>
      <c r="AK188" s="286"/>
      <c r="AL188" s="286"/>
      <c r="AM188" s="286"/>
      <c r="AN188" s="286"/>
      <c r="AO188" s="286"/>
      <c r="AP188" s="286"/>
    </row>
    <row r="189" spans="1:42" s="2" customFormat="1" ht="14" x14ac:dyDescent="0.3">
      <c r="B189" s="2" t="s">
        <v>461</v>
      </c>
      <c r="C189" s="2" t="s">
        <v>518</v>
      </c>
      <c r="D189" s="2" t="s">
        <v>530</v>
      </c>
      <c r="E189" s="2" t="s">
        <v>82</v>
      </c>
      <c r="F189" s="2" t="s">
        <v>59</v>
      </c>
      <c r="H189" s="34" t="s">
        <v>531</v>
      </c>
      <c r="I189" s="5">
        <v>0.38</v>
      </c>
      <c r="J189" s="5">
        <v>0.06</v>
      </c>
      <c r="K189" s="34">
        <v>17</v>
      </c>
      <c r="L189" s="34"/>
      <c r="M189" s="5"/>
      <c r="N189" s="5"/>
      <c r="O189" s="34"/>
      <c r="P189" s="11" t="s">
        <v>74</v>
      </c>
      <c r="Q189" s="39" t="s">
        <v>103</v>
      </c>
      <c r="R189" s="2" t="s">
        <v>4</v>
      </c>
      <c r="S189" s="2" t="s">
        <v>491</v>
      </c>
      <c r="U189" s="2" t="s">
        <v>1215</v>
      </c>
      <c r="V189" s="44" t="s">
        <v>487</v>
      </c>
    </row>
    <row r="190" spans="1:42" s="2" customFormat="1" ht="14" x14ac:dyDescent="0.3">
      <c r="B190" s="2" t="s">
        <v>461</v>
      </c>
      <c r="C190" s="2" t="s">
        <v>518</v>
      </c>
      <c r="D190" s="2" t="s">
        <v>530</v>
      </c>
      <c r="E190" s="2" t="s">
        <v>82</v>
      </c>
      <c r="F190" s="2" t="s">
        <v>59</v>
      </c>
      <c r="H190" s="34" t="s">
        <v>529</v>
      </c>
      <c r="I190" s="5">
        <v>0.43</v>
      </c>
      <c r="J190" s="5">
        <v>0.08</v>
      </c>
      <c r="K190" s="34">
        <v>25</v>
      </c>
      <c r="N190" s="5"/>
      <c r="O190" s="34"/>
      <c r="P190" s="11" t="s">
        <v>74</v>
      </c>
      <c r="Q190" s="39" t="s">
        <v>103</v>
      </c>
      <c r="R190" s="2" t="s">
        <v>4</v>
      </c>
      <c r="S190" s="2" t="s">
        <v>488</v>
      </c>
      <c r="U190" s="2" t="s">
        <v>1215</v>
      </c>
      <c r="V190" s="44" t="s">
        <v>487</v>
      </c>
    </row>
    <row r="191" spans="1:42" s="2" customFormat="1" ht="14" x14ac:dyDescent="0.3">
      <c r="B191" s="2" t="s">
        <v>461</v>
      </c>
      <c r="C191" s="2" t="s">
        <v>518</v>
      </c>
      <c r="D191" s="2" t="s">
        <v>1538</v>
      </c>
      <c r="E191" s="2" t="s">
        <v>82</v>
      </c>
      <c r="F191" s="2" t="s">
        <v>1483</v>
      </c>
      <c r="H191" s="34"/>
      <c r="I191" s="5"/>
      <c r="J191" s="5"/>
      <c r="K191" s="34"/>
      <c r="L191" s="34" t="s">
        <v>1540</v>
      </c>
      <c r="M191" s="5">
        <v>1.2666643374092172</v>
      </c>
      <c r="N191" s="5"/>
      <c r="O191" s="34"/>
      <c r="P191" s="251" t="s">
        <v>1484</v>
      </c>
      <c r="Q191" s="252" t="s">
        <v>87</v>
      </c>
      <c r="R191" s="252" t="s">
        <v>502</v>
      </c>
      <c r="S191" s="251" t="s">
        <v>1485</v>
      </c>
      <c r="T191" s="251" t="s">
        <v>1486</v>
      </c>
      <c r="U191" s="251" t="s">
        <v>13</v>
      </c>
      <c r="V191" s="286" t="s">
        <v>1487</v>
      </c>
      <c r="W191" s="286"/>
      <c r="X191" s="286"/>
      <c r="Y191" s="286"/>
      <c r="Z191" s="286"/>
      <c r="AA191" s="286"/>
      <c r="AB191" s="286"/>
      <c r="AC191" s="286"/>
      <c r="AD191" s="286"/>
      <c r="AE191" s="286"/>
      <c r="AF191" s="286"/>
      <c r="AG191" s="286"/>
      <c r="AH191" s="286"/>
      <c r="AI191" s="286"/>
      <c r="AJ191" s="286"/>
      <c r="AK191" s="286"/>
      <c r="AL191" s="286"/>
      <c r="AM191" s="286"/>
      <c r="AN191" s="286"/>
      <c r="AO191" s="286"/>
      <c r="AP191" s="286"/>
    </row>
    <row r="192" spans="1:42" s="2" customFormat="1" ht="14" x14ac:dyDescent="0.3">
      <c r="B192" s="2" t="s">
        <v>461</v>
      </c>
      <c r="C192" s="2" t="s">
        <v>518</v>
      </c>
      <c r="D192" s="2" t="s">
        <v>522</v>
      </c>
      <c r="E192" s="2" t="s">
        <v>82</v>
      </c>
      <c r="F192" s="2" t="s">
        <v>1483</v>
      </c>
      <c r="H192" s="34"/>
      <c r="I192" s="5"/>
      <c r="J192" s="5"/>
      <c r="K192" s="34"/>
      <c r="L192" s="34" t="s">
        <v>1541</v>
      </c>
      <c r="M192" s="5">
        <v>1.1865770967283185</v>
      </c>
      <c r="N192" s="5"/>
      <c r="O192" s="34"/>
      <c r="P192" s="251" t="s">
        <v>1484</v>
      </c>
      <c r="Q192" s="252" t="s">
        <v>87</v>
      </c>
      <c r="R192" s="252" t="s">
        <v>502</v>
      </c>
      <c r="S192" s="251" t="s">
        <v>1485</v>
      </c>
      <c r="T192" s="251" t="s">
        <v>1486</v>
      </c>
      <c r="U192" s="251" t="s">
        <v>13</v>
      </c>
      <c r="V192" s="286" t="s">
        <v>1487</v>
      </c>
      <c r="W192" s="286"/>
      <c r="X192" s="286"/>
      <c r="Y192" s="286"/>
      <c r="Z192" s="286"/>
      <c r="AA192" s="286"/>
      <c r="AB192" s="286"/>
      <c r="AC192" s="286"/>
      <c r="AD192" s="286"/>
      <c r="AE192" s="286"/>
      <c r="AF192" s="286"/>
      <c r="AG192" s="286"/>
      <c r="AH192" s="286"/>
      <c r="AI192" s="286"/>
      <c r="AJ192" s="286"/>
      <c r="AK192" s="286"/>
      <c r="AL192" s="286"/>
      <c r="AM192" s="286"/>
      <c r="AN192" s="286"/>
      <c r="AO192" s="286"/>
      <c r="AP192" s="286"/>
    </row>
    <row r="193" spans="1:42" s="2" customFormat="1" ht="14" x14ac:dyDescent="0.3">
      <c r="B193" s="2" t="s">
        <v>461</v>
      </c>
      <c r="C193" s="2" t="s">
        <v>518</v>
      </c>
      <c r="D193" s="2" t="s">
        <v>522</v>
      </c>
      <c r="E193" s="2" t="s">
        <v>82</v>
      </c>
      <c r="F193" s="2" t="s">
        <v>59</v>
      </c>
      <c r="H193" s="34" t="s">
        <v>528</v>
      </c>
      <c r="I193" s="5">
        <v>0.68</v>
      </c>
      <c r="J193" s="5"/>
      <c r="K193" s="34">
        <v>10</v>
      </c>
      <c r="L193" s="34" t="s">
        <v>527</v>
      </c>
      <c r="M193" s="5">
        <v>1.7</v>
      </c>
      <c r="N193" s="5"/>
      <c r="O193" s="34">
        <v>10</v>
      </c>
      <c r="P193" s="2" t="s">
        <v>195</v>
      </c>
      <c r="Q193" s="39" t="s">
        <v>526</v>
      </c>
      <c r="R193" s="2" t="s">
        <v>39</v>
      </c>
      <c r="S193" s="2" t="s">
        <v>276</v>
      </c>
      <c r="U193" s="2" t="s">
        <v>37</v>
      </c>
      <c r="V193" s="44" t="s">
        <v>275</v>
      </c>
    </row>
    <row r="194" spans="1:42" s="2" customFormat="1" ht="14" x14ac:dyDescent="0.3">
      <c r="B194" s="2" t="s">
        <v>461</v>
      </c>
      <c r="C194" s="2" t="s">
        <v>518</v>
      </c>
      <c r="D194" s="2" t="s">
        <v>522</v>
      </c>
      <c r="E194" s="2" t="s">
        <v>82</v>
      </c>
      <c r="F194" s="2" t="s">
        <v>70</v>
      </c>
      <c r="H194" s="34"/>
      <c r="I194" s="5">
        <v>0.78</v>
      </c>
      <c r="J194" s="5">
        <v>0.03</v>
      </c>
      <c r="K194" s="34"/>
      <c r="L194" s="34"/>
      <c r="M194" s="5"/>
      <c r="N194" s="5"/>
      <c r="O194" s="34"/>
      <c r="P194" s="11" t="s">
        <v>68</v>
      </c>
      <c r="Q194" s="39" t="s">
        <v>67</v>
      </c>
      <c r="R194" s="2" t="s">
        <v>66</v>
      </c>
      <c r="S194" s="2" t="s">
        <v>65</v>
      </c>
      <c r="U194" s="2" t="s">
        <v>37</v>
      </c>
      <c r="V194" s="44" t="s">
        <v>64</v>
      </c>
    </row>
    <row r="195" spans="1:42" s="2" customFormat="1" ht="14" x14ac:dyDescent="0.3">
      <c r="B195" s="2" t="s">
        <v>461</v>
      </c>
      <c r="C195" s="2" t="s">
        <v>518</v>
      </c>
      <c r="D195" s="2" t="s">
        <v>522</v>
      </c>
      <c r="E195" s="2" t="s">
        <v>82</v>
      </c>
      <c r="F195" s="2" t="s">
        <v>367</v>
      </c>
      <c r="H195" s="34"/>
      <c r="I195" s="5"/>
      <c r="J195" s="5"/>
      <c r="K195" s="34"/>
      <c r="L195" s="34" t="s">
        <v>525</v>
      </c>
      <c r="M195" s="5">
        <f>(1.491+1.387)/2</f>
        <v>1.4390000000000001</v>
      </c>
      <c r="N195" s="5"/>
      <c r="O195" s="34"/>
      <c r="P195" s="2" t="s">
        <v>40</v>
      </c>
      <c r="Q195" s="39" t="s">
        <v>40</v>
      </c>
      <c r="R195" s="2" t="s">
        <v>40</v>
      </c>
      <c r="S195" s="2" t="s">
        <v>40</v>
      </c>
      <c r="V195" s="44" t="s">
        <v>524</v>
      </c>
    </row>
    <row r="196" spans="1:42" s="2" customFormat="1" ht="14" x14ac:dyDescent="0.3">
      <c r="B196" s="2" t="s">
        <v>461</v>
      </c>
      <c r="C196" s="2" t="s">
        <v>518</v>
      </c>
      <c r="D196" s="2" t="s">
        <v>522</v>
      </c>
      <c r="E196" s="2" t="s">
        <v>350</v>
      </c>
      <c r="F196" s="2" t="s">
        <v>70</v>
      </c>
      <c r="H196" s="34" t="s">
        <v>1131</v>
      </c>
      <c r="I196" s="5">
        <v>0.79500000000000004</v>
      </c>
      <c r="J196" s="5">
        <v>0.1417744687875786</v>
      </c>
      <c r="K196" s="34">
        <v>4</v>
      </c>
      <c r="L196" s="34"/>
      <c r="M196" s="5"/>
      <c r="N196" s="5"/>
      <c r="O196" s="34"/>
      <c r="P196" s="11" t="s">
        <v>74</v>
      </c>
      <c r="Q196" s="39" t="s">
        <v>1132</v>
      </c>
      <c r="R196" s="2" t="s">
        <v>66</v>
      </c>
      <c r="S196" s="2" t="s">
        <v>65</v>
      </c>
      <c r="U196" s="2" t="s">
        <v>37</v>
      </c>
      <c r="V196" s="44" t="s">
        <v>72</v>
      </c>
    </row>
    <row r="197" spans="1:42" s="2" customFormat="1" ht="14" x14ac:dyDescent="0.3">
      <c r="B197" s="2" t="s">
        <v>461</v>
      </c>
      <c r="C197" s="2" t="s">
        <v>518</v>
      </c>
      <c r="D197" s="2" t="s">
        <v>90</v>
      </c>
      <c r="E197" s="2" t="s">
        <v>82</v>
      </c>
      <c r="F197" s="2" t="s">
        <v>122</v>
      </c>
      <c r="H197" s="34" t="s">
        <v>521</v>
      </c>
      <c r="I197" s="5">
        <v>0.51</v>
      </c>
      <c r="J197" s="5">
        <v>0.1</v>
      </c>
      <c r="K197" s="34">
        <v>6</v>
      </c>
      <c r="L197" s="34"/>
      <c r="M197" s="5">
        <v>1.22</v>
      </c>
      <c r="N197" s="5">
        <v>0.41</v>
      </c>
      <c r="O197" s="34">
        <v>2</v>
      </c>
      <c r="P197" s="2" t="s">
        <v>120</v>
      </c>
      <c r="Q197" s="39" t="s">
        <v>119</v>
      </c>
      <c r="R197" s="2" t="s">
        <v>15</v>
      </c>
      <c r="S197" s="2" t="s">
        <v>118</v>
      </c>
      <c r="U197" s="2" t="s">
        <v>13</v>
      </c>
      <c r="V197" s="44" t="s">
        <v>117</v>
      </c>
    </row>
    <row r="198" spans="1:42" x14ac:dyDescent="0.35">
      <c r="A198" s="2"/>
      <c r="B198" s="2" t="s">
        <v>461</v>
      </c>
      <c r="C198" s="2" t="s">
        <v>518</v>
      </c>
      <c r="D198" s="2" t="s">
        <v>807</v>
      </c>
      <c r="E198" s="2" t="s">
        <v>82</v>
      </c>
      <c r="F198" s="2" t="s">
        <v>1763</v>
      </c>
      <c r="G198" s="2"/>
      <c r="H198" s="34"/>
      <c r="I198" s="5">
        <v>0.61</v>
      </c>
      <c r="J198" s="5"/>
      <c r="K198" s="34">
        <v>1</v>
      </c>
      <c r="L198" s="34"/>
      <c r="M198" s="5"/>
      <c r="N198" s="5"/>
      <c r="O198" s="34"/>
      <c r="P198" s="2" t="s">
        <v>798</v>
      </c>
      <c r="Q198" s="42" t="s">
        <v>1139</v>
      </c>
      <c r="R198" s="2" t="s">
        <v>1765</v>
      </c>
      <c r="S198" s="2" t="s">
        <v>1766</v>
      </c>
      <c r="T198" s="2"/>
      <c r="U198" s="2" t="s">
        <v>24</v>
      </c>
      <c r="V198" s="44" t="s">
        <v>1790</v>
      </c>
      <c r="W198" s="2"/>
    </row>
    <row r="199" spans="1:42" s="15" customFormat="1" ht="14" x14ac:dyDescent="0.3">
      <c r="A199" s="7" t="s">
        <v>916</v>
      </c>
      <c r="C199" s="15" t="s">
        <v>518</v>
      </c>
      <c r="E199" s="15" t="s">
        <v>82</v>
      </c>
      <c r="H199" s="35"/>
      <c r="I199" s="16">
        <f>AVERAGE(I184:I198)</f>
        <v>0.63924242424242428</v>
      </c>
      <c r="J199" s="16">
        <f>STDEV(I184:I198)/SQRT(COUNT(I184:I198))</f>
        <v>7.9014563175124425E-2</v>
      </c>
      <c r="K199" s="35"/>
      <c r="L199" s="35"/>
      <c r="M199" s="16">
        <f>AVERAGE(M184:M198)</f>
        <v>1.3520402390229227</v>
      </c>
      <c r="N199" s="16">
        <f>STDEV(M184:M198)/SQRT(COUNT(M184:M198))</f>
        <v>7.819801841512522E-2</v>
      </c>
      <c r="O199" s="35"/>
      <c r="P199" s="17"/>
      <c r="Q199" s="41"/>
      <c r="V199" s="46"/>
    </row>
    <row r="200" spans="1:42" s="49" customFormat="1" ht="14" x14ac:dyDescent="0.3">
      <c r="B200" s="49" t="s">
        <v>81</v>
      </c>
      <c r="C200" s="49" t="s">
        <v>376</v>
      </c>
      <c r="D200" s="49" t="s">
        <v>90</v>
      </c>
      <c r="E200" s="49" t="s">
        <v>82</v>
      </c>
      <c r="F200" s="49" t="s">
        <v>122</v>
      </c>
      <c r="G200" s="49" t="s">
        <v>375</v>
      </c>
      <c r="H200" s="50"/>
      <c r="I200" s="48">
        <v>3.36</v>
      </c>
      <c r="J200" s="48">
        <v>0</v>
      </c>
      <c r="K200" s="50">
        <v>1</v>
      </c>
      <c r="L200" s="50"/>
      <c r="M200" s="48">
        <v>1.31</v>
      </c>
      <c r="N200" s="48">
        <v>0.16</v>
      </c>
      <c r="O200" s="50"/>
      <c r="P200" s="49" t="s">
        <v>120</v>
      </c>
      <c r="Q200" s="51" t="s">
        <v>119</v>
      </c>
      <c r="R200" s="49" t="s">
        <v>15</v>
      </c>
      <c r="S200" s="49" t="s">
        <v>118</v>
      </c>
      <c r="U200" s="49" t="s">
        <v>13</v>
      </c>
      <c r="V200" s="52" t="s">
        <v>117</v>
      </c>
    </row>
    <row r="201" spans="1:42" s="49" customFormat="1" ht="14" x14ac:dyDescent="0.3">
      <c r="B201" s="49" t="s">
        <v>81</v>
      </c>
      <c r="C201" s="49" t="s">
        <v>376</v>
      </c>
      <c r="D201" s="49" t="s">
        <v>90</v>
      </c>
      <c r="E201" s="49" t="s">
        <v>82</v>
      </c>
      <c r="F201" s="49" t="s">
        <v>59</v>
      </c>
      <c r="G201" s="49" t="s">
        <v>1210</v>
      </c>
      <c r="H201" s="50" t="s">
        <v>415</v>
      </c>
      <c r="I201" s="48">
        <v>1.1100000000000001</v>
      </c>
      <c r="J201" s="48">
        <v>0.03</v>
      </c>
      <c r="K201" s="50">
        <v>119</v>
      </c>
      <c r="L201" s="50"/>
      <c r="M201" s="48"/>
      <c r="N201" s="48"/>
      <c r="O201" s="50"/>
      <c r="Q201" s="51" t="s">
        <v>245</v>
      </c>
      <c r="R201" s="49" t="s">
        <v>4</v>
      </c>
      <c r="S201" s="49" t="s">
        <v>1209</v>
      </c>
      <c r="U201" s="49" t="s">
        <v>1215</v>
      </c>
      <c r="V201" s="52" t="s">
        <v>1211</v>
      </c>
    </row>
    <row r="202" spans="1:42" s="49" customFormat="1" ht="14" x14ac:dyDescent="0.3">
      <c r="B202" s="49" t="s">
        <v>81</v>
      </c>
      <c r="C202" s="49" t="s">
        <v>1542</v>
      </c>
      <c r="D202" s="49" t="s">
        <v>1543</v>
      </c>
      <c r="E202" s="49" t="s">
        <v>82</v>
      </c>
      <c r="F202" s="49" t="s">
        <v>1483</v>
      </c>
      <c r="H202" s="50"/>
      <c r="I202" s="48"/>
      <c r="J202" s="48"/>
      <c r="K202" s="50"/>
      <c r="L202" s="50"/>
      <c r="M202" s="48">
        <v>0.99</v>
      </c>
      <c r="N202" s="48"/>
      <c r="O202" s="50"/>
      <c r="P202" s="251" t="s">
        <v>1484</v>
      </c>
      <c r="Q202" s="252" t="s">
        <v>87</v>
      </c>
      <c r="R202" s="252" t="s">
        <v>502</v>
      </c>
      <c r="S202" s="251" t="s">
        <v>1485</v>
      </c>
      <c r="T202" s="251" t="s">
        <v>1486</v>
      </c>
      <c r="U202" s="251" t="s">
        <v>13</v>
      </c>
      <c r="V202" s="286" t="s">
        <v>1487</v>
      </c>
      <c r="W202" s="286"/>
      <c r="X202" s="286"/>
      <c r="Y202" s="286"/>
      <c r="Z202" s="286"/>
      <c r="AA202" s="286"/>
      <c r="AB202" s="286"/>
      <c r="AC202" s="286"/>
      <c r="AD202" s="286"/>
      <c r="AE202" s="286"/>
      <c r="AF202" s="286"/>
      <c r="AG202" s="286"/>
      <c r="AH202" s="286"/>
      <c r="AI202" s="286"/>
      <c r="AJ202" s="286"/>
      <c r="AK202" s="286"/>
      <c r="AL202" s="286"/>
      <c r="AM202" s="286"/>
      <c r="AN202" s="286"/>
      <c r="AO202" s="286"/>
      <c r="AP202" s="286"/>
    </row>
    <row r="203" spans="1:42" s="7" customFormat="1" ht="14" x14ac:dyDescent="0.3">
      <c r="A203" s="7" t="s">
        <v>920</v>
      </c>
      <c r="C203" s="7" t="s">
        <v>376</v>
      </c>
      <c r="E203" s="7" t="s">
        <v>82</v>
      </c>
      <c r="H203" s="33"/>
      <c r="I203" s="8">
        <f>AVERAGE(I200:I202)</f>
        <v>2.2349999999999999</v>
      </c>
      <c r="J203" s="8">
        <f>J201</f>
        <v>0.03</v>
      </c>
      <c r="K203" s="33"/>
      <c r="L203" s="33"/>
      <c r="M203" s="8">
        <f>AVERAGE(M200:M202)</f>
        <v>1.1499999999999999</v>
      </c>
      <c r="N203" s="8">
        <f>STDEV(M200:M202)/SQRT(COUNT(M200:M202))</f>
        <v>0.16000000000000089</v>
      </c>
      <c r="O203" s="33"/>
      <c r="Q203" s="38"/>
      <c r="V203" s="13"/>
    </row>
    <row r="204" spans="1:42" s="2" customFormat="1" ht="14" x14ac:dyDescent="0.3">
      <c r="B204" s="49" t="s">
        <v>81</v>
      </c>
      <c r="C204" s="49" t="s">
        <v>376</v>
      </c>
      <c r="D204" s="2" t="s">
        <v>1500</v>
      </c>
      <c r="E204" s="2" t="s">
        <v>338</v>
      </c>
      <c r="F204" s="2" t="s">
        <v>1483</v>
      </c>
      <c r="H204" s="34"/>
      <c r="I204" s="5"/>
      <c r="J204" s="5"/>
      <c r="K204" s="34"/>
      <c r="L204" s="34"/>
      <c r="M204" s="5">
        <v>0.862635394</v>
      </c>
      <c r="N204" s="5"/>
      <c r="O204" s="34"/>
      <c r="P204" s="251" t="s">
        <v>1484</v>
      </c>
      <c r="Q204" s="252" t="s">
        <v>87</v>
      </c>
      <c r="R204" s="252" t="s">
        <v>502</v>
      </c>
      <c r="S204" s="251" t="s">
        <v>1485</v>
      </c>
      <c r="T204" s="251" t="s">
        <v>1486</v>
      </c>
      <c r="U204" s="251" t="s">
        <v>13</v>
      </c>
      <c r="V204" s="286" t="s">
        <v>1487</v>
      </c>
      <c r="W204" s="286"/>
      <c r="X204" s="286"/>
      <c r="Y204" s="286"/>
      <c r="Z204" s="286"/>
      <c r="AA204" s="286"/>
      <c r="AB204" s="286"/>
      <c r="AC204" s="286"/>
      <c r="AD204" s="286"/>
      <c r="AE204" s="286"/>
      <c r="AF204" s="286"/>
      <c r="AG204" s="286"/>
      <c r="AH204" s="286"/>
      <c r="AI204" s="286"/>
      <c r="AJ204" s="286"/>
      <c r="AK204" s="286"/>
      <c r="AL204" s="286"/>
      <c r="AM204" s="286"/>
      <c r="AN204" s="286"/>
      <c r="AO204" s="286"/>
      <c r="AP204" s="286"/>
    </row>
    <row r="205" spans="1:42" s="2" customFormat="1" ht="14" x14ac:dyDescent="0.3">
      <c r="B205" s="49" t="s">
        <v>81</v>
      </c>
      <c r="C205" s="49" t="s">
        <v>376</v>
      </c>
      <c r="D205" s="2" t="s">
        <v>288</v>
      </c>
      <c r="E205" s="2" t="s">
        <v>338</v>
      </c>
      <c r="F205" s="2" t="s">
        <v>1483</v>
      </c>
      <c r="H205" s="34"/>
      <c r="I205" s="5"/>
      <c r="J205" s="5"/>
      <c r="K205" s="34"/>
      <c r="L205" s="34"/>
      <c r="M205" s="5">
        <v>1.0280473914999999</v>
      </c>
      <c r="N205" s="5"/>
      <c r="O205" s="34"/>
      <c r="P205" s="251" t="s">
        <v>1484</v>
      </c>
      <c r="Q205" s="252" t="s">
        <v>87</v>
      </c>
      <c r="R205" s="252" t="s">
        <v>502</v>
      </c>
      <c r="S205" s="251" t="s">
        <v>1485</v>
      </c>
      <c r="T205" s="251" t="s">
        <v>1486</v>
      </c>
      <c r="U205" s="251" t="s">
        <v>13</v>
      </c>
      <c r="V205" s="286" t="s">
        <v>1487</v>
      </c>
      <c r="W205" s="286"/>
      <c r="X205" s="286"/>
      <c r="Y205" s="286"/>
      <c r="Z205" s="286"/>
      <c r="AA205" s="286"/>
      <c r="AB205" s="286"/>
      <c r="AC205" s="286"/>
      <c r="AD205" s="286"/>
      <c r="AE205" s="286"/>
      <c r="AF205" s="286"/>
      <c r="AG205" s="286"/>
      <c r="AH205" s="286"/>
      <c r="AI205" s="286"/>
      <c r="AJ205" s="286"/>
      <c r="AK205" s="286"/>
      <c r="AL205" s="286"/>
      <c r="AM205" s="286"/>
      <c r="AN205" s="286"/>
      <c r="AO205" s="286"/>
      <c r="AP205" s="286"/>
    </row>
    <row r="206" spans="1:42" s="7" customFormat="1" ht="14" x14ac:dyDescent="0.3">
      <c r="A206" s="7" t="s">
        <v>918</v>
      </c>
      <c r="C206" s="15" t="s">
        <v>376</v>
      </c>
      <c r="E206" s="7" t="s">
        <v>338</v>
      </c>
      <c r="H206" s="33"/>
      <c r="I206" s="8"/>
      <c r="J206" s="8"/>
      <c r="K206" s="33"/>
      <c r="L206" s="33"/>
      <c r="M206" s="8">
        <f>AVERAGE(M204:M205)</f>
        <v>0.94534139274999995</v>
      </c>
      <c r="N206" s="8">
        <f>STDEV(M204:M205)/SQRT(COUNT(M204:M205))</f>
        <v>8.2705998749999954E-2</v>
      </c>
      <c r="O206" s="33"/>
      <c r="Q206" s="38"/>
      <c r="V206" s="13"/>
    </row>
    <row r="207" spans="1:42" s="2" customFormat="1" ht="14" x14ac:dyDescent="0.3">
      <c r="B207" s="49" t="s">
        <v>81</v>
      </c>
      <c r="C207" s="49" t="s">
        <v>376</v>
      </c>
      <c r="D207" s="2" t="s">
        <v>1544</v>
      </c>
      <c r="E207" s="2" t="s">
        <v>20</v>
      </c>
      <c r="F207" s="2" t="s">
        <v>1483</v>
      </c>
      <c r="H207" s="34"/>
      <c r="I207" s="5"/>
      <c r="J207" s="5"/>
      <c r="K207" s="34"/>
      <c r="L207" s="34" t="s">
        <v>1545</v>
      </c>
      <c r="M207" s="5">
        <v>0.94</v>
      </c>
      <c r="N207" s="5"/>
      <c r="O207" s="34"/>
      <c r="P207" s="251" t="s">
        <v>1484</v>
      </c>
      <c r="Q207" s="252" t="s">
        <v>87</v>
      </c>
      <c r="R207" s="252" t="s">
        <v>502</v>
      </c>
      <c r="S207" s="251" t="s">
        <v>1485</v>
      </c>
      <c r="T207" s="251" t="s">
        <v>1486</v>
      </c>
      <c r="U207" s="251" t="s">
        <v>13</v>
      </c>
      <c r="V207" s="286" t="s">
        <v>1487</v>
      </c>
      <c r="W207" s="286"/>
      <c r="X207" s="286"/>
      <c r="Y207" s="286"/>
      <c r="Z207" s="286"/>
      <c r="AA207" s="286"/>
      <c r="AB207" s="286"/>
      <c r="AC207" s="286"/>
      <c r="AD207" s="286"/>
      <c r="AE207" s="286"/>
      <c r="AF207" s="286"/>
      <c r="AG207" s="286"/>
      <c r="AH207" s="286"/>
      <c r="AI207" s="286"/>
      <c r="AJ207" s="286"/>
      <c r="AK207" s="286"/>
      <c r="AL207" s="286"/>
      <c r="AM207" s="286"/>
      <c r="AN207" s="286"/>
      <c r="AO207" s="286"/>
      <c r="AP207" s="286"/>
    </row>
    <row r="208" spans="1:42" s="7" customFormat="1" ht="14" x14ac:dyDescent="0.3">
      <c r="A208" s="7" t="s">
        <v>919</v>
      </c>
      <c r="B208" s="15"/>
      <c r="C208" s="15" t="s">
        <v>376</v>
      </c>
      <c r="E208" s="7" t="s">
        <v>20</v>
      </c>
      <c r="H208" s="33"/>
      <c r="I208" s="8"/>
      <c r="J208" s="8"/>
      <c r="K208" s="33"/>
      <c r="L208" s="33"/>
      <c r="M208" s="8">
        <f>AVERAGE(M207)</f>
        <v>0.94</v>
      </c>
      <c r="N208" s="8">
        <f>(1.01-M207)/2</f>
        <v>3.5000000000000031E-2</v>
      </c>
      <c r="O208" s="33"/>
      <c r="Q208" s="38"/>
      <c r="V208" s="13"/>
    </row>
    <row r="209" spans="1:42" s="2" customFormat="1" ht="14" x14ac:dyDescent="0.3">
      <c r="C209" s="49" t="s">
        <v>1646</v>
      </c>
      <c r="D209" s="49" t="s">
        <v>1714</v>
      </c>
      <c r="E209" s="2" t="s">
        <v>1716</v>
      </c>
      <c r="F209" s="2" t="s">
        <v>42</v>
      </c>
      <c r="G209" s="2" t="s">
        <v>1718</v>
      </c>
      <c r="H209" s="34"/>
      <c r="I209" s="5">
        <v>0.86</v>
      </c>
      <c r="J209" s="5">
        <v>0.05</v>
      </c>
      <c r="K209" s="34"/>
      <c r="L209" s="34"/>
      <c r="M209" s="5">
        <v>2.0099999999999998</v>
      </c>
      <c r="N209" s="5">
        <v>0.06</v>
      </c>
      <c r="O209" s="34"/>
      <c r="Q209" s="39" t="s">
        <v>87</v>
      </c>
      <c r="R209" s="2" t="s">
        <v>1719</v>
      </c>
      <c r="S209" s="2" t="s">
        <v>1720</v>
      </c>
      <c r="U209" s="2" t="s">
        <v>13</v>
      </c>
      <c r="V209" s="44" t="s">
        <v>1721</v>
      </c>
    </row>
    <row r="210" spans="1:42" s="7" customFormat="1" ht="14" x14ac:dyDescent="0.3">
      <c r="A210" s="7" t="s">
        <v>1717</v>
      </c>
      <c r="B210" s="15"/>
      <c r="C210" s="15" t="s">
        <v>1646</v>
      </c>
      <c r="E210" s="7" t="s">
        <v>359</v>
      </c>
      <c r="H210" s="33"/>
      <c r="I210" s="8">
        <f>AVERAGE(I209)</f>
        <v>0.86</v>
      </c>
      <c r="J210" s="8">
        <f>J209</f>
        <v>0.05</v>
      </c>
      <c r="K210" s="33"/>
      <c r="L210" s="33"/>
      <c r="M210" s="8">
        <f>AVERAGE(M209)</f>
        <v>2.0099999999999998</v>
      </c>
      <c r="N210" s="8">
        <f>N209</f>
        <v>0.06</v>
      </c>
      <c r="O210" s="33"/>
      <c r="Q210" s="38"/>
      <c r="V210" s="13"/>
    </row>
    <row r="211" spans="1:42" s="2" customFormat="1" ht="14" x14ac:dyDescent="0.3">
      <c r="B211" s="2" t="s">
        <v>461</v>
      </c>
      <c r="C211" s="2" t="s">
        <v>510</v>
      </c>
      <c r="D211" s="2" t="s">
        <v>90</v>
      </c>
      <c r="E211" s="2" t="s">
        <v>517</v>
      </c>
      <c r="F211" s="2" t="s">
        <v>122</v>
      </c>
      <c r="G211" s="2" t="s">
        <v>516</v>
      </c>
      <c r="H211" s="34" t="s">
        <v>515</v>
      </c>
      <c r="I211" s="5">
        <v>1.2</v>
      </c>
      <c r="J211" s="5">
        <v>0.21</v>
      </c>
      <c r="K211" s="34">
        <v>3</v>
      </c>
      <c r="L211" s="34"/>
      <c r="M211" s="5">
        <v>1.37</v>
      </c>
      <c r="N211" s="5">
        <v>0.25</v>
      </c>
      <c r="O211" s="34"/>
      <c r="P211" s="2" t="s">
        <v>120</v>
      </c>
      <c r="Q211" s="39" t="s">
        <v>119</v>
      </c>
      <c r="R211" s="2" t="s">
        <v>15</v>
      </c>
      <c r="S211" s="2" t="s">
        <v>118</v>
      </c>
      <c r="U211" s="2" t="s">
        <v>13</v>
      </c>
      <c r="V211" s="44" t="s">
        <v>117</v>
      </c>
    </row>
    <row r="212" spans="1:42" s="2" customFormat="1" ht="14" x14ac:dyDescent="0.3">
      <c r="B212" s="2" t="s">
        <v>461</v>
      </c>
      <c r="C212" s="2" t="s">
        <v>510</v>
      </c>
      <c r="D212" s="2" t="s">
        <v>1546</v>
      </c>
      <c r="E212" s="2" t="s">
        <v>34</v>
      </c>
      <c r="F212" s="2" t="s">
        <v>1483</v>
      </c>
      <c r="H212" s="34"/>
      <c r="I212" s="5"/>
      <c r="J212" s="5"/>
      <c r="K212" s="34"/>
      <c r="L212" s="34" t="s">
        <v>1547</v>
      </c>
      <c r="M212" s="5">
        <v>1</v>
      </c>
      <c r="N212" s="5"/>
      <c r="O212" s="34"/>
      <c r="P212" s="251" t="s">
        <v>1484</v>
      </c>
      <c r="Q212" s="252" t="s">
        <v>87</v>
      </c>
      <c r="R212" s="252" t="s">
        <v>502</v>
      </c>
      <c r="S212" s="251" t="s">
        <v>1485</v>
      </c>
      <c r="T212" s="251" t="s">
        <v>1486</v>
      </c>
      <c r="U212" s="251" t="s">
        <v>13</v>
      </c>
      <c r="V212" s="286" t="s">
        <v>1487</v>
      </c>
      <c r="W212" s="286"/>
      <c r="X212" s="286"/>
      <c r="Y212" s="286"/>
      <c r="Z212" s="286"/>
      <c r="AA212" s="286"/>
      <c r="AB212" s="286"/>
      <c r="AC212" s="286"/>
      <c r="AD212" s="286"/>
      <c r="AE212" s="286"/>
      <c r="AF212" s="286"/>
      <c r="AG212" s="286"/>
      <c r="AH212" s="286"/>
      <c r="AI212" s="286"/>
      <c r="AJ212" s="286"/>
      <c r="AK212" s="286"/>
      <c r="AL212" s="286"/>
      <c r="AM212" s="286"/>
      <c r="AN212" s="286"/>
      <c r="AO212" s="286"/>
      <c r="AP212" s="286"/>
    </row>
    <row r="213" spans="1:42" s="2" customFormat="1" ht="14" x14ac:dyDescent="0.3">
      <c r="B213" s="2" t="s">
        <v>461</v>
      </c>
      <c r="C213" s="2" t="s">
        <v>510</v>
      </c>
      <c r="D213" s="2" t="s">
        <v>514</v>
      </c>
      <c r="E213" s="2" t="s">
        <v>82</v>
      </c>
      <c r="F213" s="2" t="s">
        <v>70</v>
      </c>
      <c r="H213" s="34"/>
      <c r="I213" s="5">
        <v>1.1499999999999999</v>
      </c>
      <c r="J213" s="5"/>
      <c r="K213" s="34">
        <v>1</v>
      </c>
      <c r="L213" s="34"/>
      <c r="M213" s="5"/>
      <c r="N213" s="5"/>
      <c r="O213" s="34"/>
      <c r="P213" s="11" t="s">
        <v>74</v>
      </c>
      <c r="Q213" s="39" t="s">
        <v>245</v>
      </c>
      <c r="R213" s="2" t="s">
        <v>66</v>
      </c>
      <c r="S213" s="2" t="s">
        <v>65</v>
      </c>
      <c r="U213" s="2" t="s">
        <v>37</v>
      </c>
      <c r="V213" s="44" t="s">
        <v>72</v>
      </c>
    </row>
    <row r="214" spans="1:42" s="2" customFormat="1" ht="14" x14ac:dyDescent="0.3">
      <c r="B214" s="2" t="s">
        <v>461</v>
      </c>
      <c r="C214" s="2" t="s">
        <v>510</v>
      </c>
      <c r="D214" s="2" t="s">
        <v>514</v>
      </c>
      <c r="E214" s="2" t="s">
        <v>34</v>
      </c>
      <c r="F214" s="2" t="s">
        <v>31</v>
      </c>
      <c r="H214" s="34" t="s">
        <v>513</v>
      </c>
      <c r="I214" s="5">
        <v>0.63</v>
      </c>
      <c r="J214" s="5">
        <v>0.04</v>
      </c>
      <c r="K214" s="34">
        <v>3</v>
      </c>
      <c r="L214" s="34" t="s">
        <v>512</v>
      </c>
      <c r="M214" s="5">
        <v>1.37</v>
      </c>
      <c r="N214" s="5">
        <v>0.2</v>
      </c>
      <c r="O214" s="34"/>
      <c r="P214" s="2" t="s">
        <v>28</v>
      </c>
      <c r="Q214" s="39" t="s">
        <v>511</v>
      </c>
      <c r="R214" s="2" t="s">
        <v>26</v>
      </c>
      <c r="S214" s="2" t="s">
        <v>25</v>
      </c>
      <c r="U214" s="2" t="s">
        <v>24</v>
      </c>
      <c r="V214" s="44" t="s">
        <v>23</v>
      </c>
    </row>
    <row r="215" spans="1:42" x14ac:dyDescent="0.35">
      <c r="A215" s="2"/>
      <c r="B215" s="2" t="s">
        <v>461</v>
      </c>
      <c r="C215" s="2" t="s">
        <v>510</v>
      </c>
      <c r="D215" s="2" t="s">
        <v>807</v>
      </c>
      <c r="E215" s="2" t="s">
        <v>82</v>
      </c>
      <c r="F215" s="2" t="s">
        <v>1763</v>
      </c>
      <c r="G215" s="2"/>
      <c r="H215" s="34"/>
      <c r="I215" s="5">
        <v>0.75</v>
      </c>
      <c r="J215" s="5"/>
      <c r="K215" s="34">
        <v>1</v>
      </c>
      <c r="L215" s="34"/>
      <c r="M215" s="5"/>
      <c r="N215" s="5"/>
      <c r="O215" s="34"/>
      <c r="P215" s="2" t="s">
        <v>798</v>
      </c>
      <c r="Q215" s="42" t="s">
        <v>1139</v>
      </c>
      <c r="R215" s="2" t="s">
        <v>1765</v>
      </c>
      <c r="S215" s="2" t="s">
        <v>1766</v>
      </c>
      <c r="T215" s="2"/>
      <c r="U215" s="2" t="s">
        <v>24</v>
      </c>
      <c r="V215" s="44" t="s">
        <v>1790</v>
      </c>
      <c r="W215" s="2"/>
    </row>
    <row r="216" spans="1:42" s="15" customFormat="1" ht="14" x14ac:dyDescent="0.3">
      <c r="A216" s="7" t="s">
        <v>1190</v>
      </c>
      <c r="C216" s="15" t="s">
        <v>510</v>
      </c>
      <c r="E216" s="15" t="s">
        <v>1191</v>
      </c>
      <c r="H216" s="35"/>
      <c r="I216" s="16">
        <f>AVERAGE(I211:I215)</f>
        <v>0.93249999999999988</v>
      </c>
      <c r="J216" s="16">
        <f>STDEV(I211:I215)/SQRT(COUNT(I211:I215))</f>
        <v>0.14250000000000015</v>
      </c>
      <c r="K216" s="35"/>
      <c r="L216" s="35"/>
      <c r="M216" s="16">
        <f>AVERAGE(M211:M215)</f>
        <v>1.2466666666666668</v>
      </c>
      <c r="N216" s="16">
        <f>STDEV(M211:M215)/SQRT(COUNT(M211:M215))</f>
        <v>0.12333333333333285</v>
      </c>
      <c r="O216" s="35"/>
      <c r="Q216" s="41"/>
      <c r="V216" s="46"/>
    </row>
    <row r="217" spans="1:42" s="49" customFormat="1" ht="14" x14ac:dyDescent="0.3">
      <c r="A217" s="2"/>
      <c r="B217" s="2" t="s">
        <v>461</v>
      </c>
      <c r="C217" s="49" t="s">
        <v>510</v>
      </c>
      <c r="D217" s="49" t="s">
        <v>1548</v>
      </c>
      <c r="E217" s="49" t="s">
        <v>20</v>
      </c>
      <c r="H217" s="50"/>
      <c r="I217" s="48"/>
      <c r="J217" s="48"/>
      <c r="K217" s="50"/>
      <c r="L217" s="50" t="s">
        <v>1549</v>
      </c>
      <c r="M217" s="48">
        <v>1.4</v>
      </c>
      <c r="N217" s="48"/>
      <c r="O217" s="50"/>
      <c r="P217" s="251" t="s">
        <v>1484</v>
      </c>
      <c r="Q217" s="252" t="s">
        <v>87</v>
      </c>
      <c r="R217" s="252" t="s">
        <v>502</v>
      </c>
      <c r="S217" s="251" t="s">
        <v>1485</v>
      </c>
      <c r="T217" s="251" t="s">
        <v>1486</v>
      </c>
      <c r="U217" s="251" t="s">
        <v>13</v>
      </c>
      <c r="V217" s="286" t="s">
        <v>1487</v>
      </c>
      <c r="W217" s="286"/>
      <c r="X217" s="286"/>
      <c r="Y217" s="286"/>
      <c r="Z217" s="286"/>
      <c r="AA217" s="286"/>
      <c r="AB217" s="286"/>
      <c r="AC217" s="286"/>
      <c r="AD217" s="286"/>
      <c r="AE217" s="286"/>
      <c r="AF217" s="286"/>
      <c r="AG217" s="286"/>
      <c r="AH217" s="286"/>
      <c r="AI217" s="286"/>
      <c r="AJ217" s="286"/>
      <c r="AK217" s="286"/>
      <c r="AL217" s="286"/>
      <c r="AM217" s="286"/>
      <c r="AN217" s="286"/>
      <c r="AO217" s="286"/>
      <c r="AP217" s="286"/>
    </row>
    <row r="218" spans="1:42" s="15" customFormat="1" ht="14" x14ac:dyDescent="0.3">
      <c r="A218" s="7" t="s">
        <v>925</v>
      </c>
      <c r="C218" s="15" t="s">
        <v>510</v>
      </c>
      <c r="E218" s="15" t="s">
        <v>20</v>
      </c>
      <c r="H218" s="35"/>
      <c r="I218" s="16"/>
      <c r="J218" s="16"/>
      <c r="K218" s="35"/>
      <c r="L218" s="35"/>
      <c r="M218" s="16">
        <f>AVERAGE(M217)</f>
        <v>1.4</v>
      </c>
      <c r="N218" s="16">
        <f>(1.46-M217)/2</f>
        <v>3.0000000000000027E-2</v>
      </c>
      <c r="O218" s="35"/>
      <c r="Q218" s="41"/>
      <c r="V218" s="46"/>
    </row>
    <row r="219" spans="1:42" s="49" customFormat="1" ht="14" x14ac:dyDescent="0.3">
      <c r="A219" s="2"/>
      <c r="B219" s="2" t="s">
        <v>461</v>
      </c>
      <c r="C219" s="49" t="s">
        <v>510</v>
      </c>
      <c r="D219" s="49" t="s">
        <v>1550</v>
      </c>
      <c r="E219" s="49" t="s">
        <v>359</v>
      </c>
      <c r="H219" s="50"/>
      <c r="I219" s="48"/>
      <c r="J219" s="48"/>
      <c r="K219" s="50"/>
      <c r="L219" s="50" t="s">
        <v>1551</v>
      </c>
      <c r="M219" s="48">
        <v>1.38</v>
      </c>
      <c r="N219" s="48"/>
      <c r="O219" s="50"/>
      <c r="P219" s="251" t="s">
        <v>1484</v>
      </c>
      <c r="Q219" s="252" t="s">
        <v>87</v>
      </c>
      <c r="R219" s="252" t="s">
        <v>502</v>
      </c>
      <c r="S219" s="251" t="s">
        <v>1485</v>
      </c>
      <c r="T219" s="251" t="s">
        <v>1486</v>
      </c>
      <c r="U219" s="251" t="s">
        <v>13</v>
      </c>
      <c r="V219" s="286" t="s">
        <v>1487</v>
      </c>
      <c r="W219" s="286"/>
      <c r="X219" s="286"/>
      <c r="Y219" s="286"/>
      <c r="Z219" s="286"/>
      <c r="AA219" s="286"/>
      <c r="AB219" s="286"/>
      <c r="AC219" s="286"/>
      <c r="AD219" s="286"/>
      <c r="AE219" s="286"/>
      <c r="AF219" s="286"/>
      <c r="AG219" s="286"/>
      <c r="AH219" s="286"/>
      <c r="AI219" s="286"/>
      <c r="AJ219" s="286"/>
      <c r="AK219" s="286"/>
      <c r="AL219" s="286"/>
      <c r="AM219" s="286"/>
      <c r="AN219" s="286"/>
      <c r="AO219" s="286"/>
      <c r="AP219" s="286"/>
    </row>
    <row r="220" spans="1:42" s="15" customFormat="1" ht="14" x14ac:dyDescent="0.3">
      <c r="A220" s="7" t="s">
        <v>924</v>
      </c>
      <c r="C220" s="15" t="s">
        <v>510</v>
      </c>
      <c r="E220" s="15" t="s">
        <v>359</v>
      </c>
      <c r="H220" s="35"/>
      <c r="I220" s="16"/>
      <c r="J220" s="16"/>
      <c r="K220" s="35"/>
      <c r="L220" s="35"/>
      <c r="M220" s="16">
        <f>AVERAGE(M219)</f>
        <v>1.38</v>
      </c>
      <c r="N220" s="16">
        <f>(1.45-M219)/2</f>
        <v>3.5000000000000031E-2</v>
      </c>
      <c r="O220" s="35"/>
      <c r="Q220" s="41"/>
      <c r="V220" s="46"/>
    </row>
    <row r="221" spans="1:42" x14ac:dyDescent="0.35">
      <c r="A221" s="2"/>
      <c r="B221" s="2" t="s">
        <v>653</v>
      </c>
      <c r="C221" s="2" t="s">
        <v>1192</v>
      </c>
      <c r="D221" s="2" t="s">
        <v>1713</v>
      </c>
      <c r="E221" s="2" t="s">
        <v>359</v>
      </c>
      <c r="F221" s="2" t="s">
        <v>31</v>
      </c>
      <c r="G221" s="2" t="s">
        <v>1711</v>
      </c>
      <c r="H221" s="34"/>
      <c r="I221" s="5">
        <v>1.64</v>
      </c>
      <c r="J221" s="5">
        <v>0.35</v>
      </c>
      <c r="K221" s="34"/>
      <c r="L221" s="34"/>
      <c r="M221" s="5">
        <v>1.66</v>
      </c>
      <c r="N221" s="5">
        <v>0.03</v>
      </c>
      <c r="O221" s="34"/>
      <c r="P221" s="251"/>
      <c r="Q221" s="253" t="s">
        <v>245</v>
      </c>
      <c r="R221" s="252" t="s">
        <v>4</v>
      </c>
      <c r="S221" s="251" t="s">
        <v>1248</v>
      </c>
      <c r="T221" s="251"/>
      <c r="U221" s="251" t="s">
        <v>1215</v>
      </c>
      <c r="V221" s="254" t="s">
        <v>1712</v>
      </c>
      <c r="W221" s="249"/>
      <c r="X221" s="249"/>
      <c r="Y221" s="249"/>
      <c r="Z221" s="249"/>
      <c r="AA221" s="249"/>
      <c r="AB221" s="249"/>
      <c r="AC221" s="249"/>
      <c r="AD221" s="249"/>
      <c r="AE221" s="249"/>
      <c r="AF221" s="249"/>
      <c r="AG221" s="249"/>
      <c r="AH221" s="249"/>
      <c r="AI221" s="249"/>
      <c r="AJ221" s="249"/>
      <c r="AK221" s="249"/>
      <c r="AL221" s="249"/>
      <c r="AM221" s="249"/>
      <c r="AN221" s="249"/>
      <c r="AO221" s="249"/>
      <c r="AP221" s="249"/>
    </row>
    <row r="222" spans="1:42" x14ac:dyDescent="0.35">
      <c r="A222" s="2"/>
      <c r="B222" s="2" t="s">
        <v>653</v>
      </c>
      <c r="C222" s="2" t="s">
        <v>1192</v>
      </c>
      <c r="D222" s="2" t="s">
        <v>1713</v>
      </c>
      <c r="E222" s="2" t="s">
        <v>359</v>
      </c>
      <c r="F222" s="2" t="s">
        <v>31</v>
      </c>
      <c r="G222" s="2" t="s">
        <v>1711</v>
      </c>
      <c r="H222" s="34"/>
      <c r="I222" s="5">
        <v>1.58</v>
      </c>
      <c r="J222" s="5">
        <v>0.36</v>
      </c>
      <c r="K222" s="34"/>
      <c r="L222" s="34"/>
      <c r="M222" s="5">
        <v>1.53</v>
      </c>
      <c r="N222" s="5">
        <v>0.02</v>
      </c>
      <c r="O222" s="34"/>
      <c r="P222" s="251"/>
      <c r="Q222" s="253" t="s">
        <v>245</v>
      </c>
      <c r="R222" s="252" t="s">
        <v>4</v>
      </c>
      <c r="S222" s="251" t="s">
        <v>180</v>
      </c>
      <c r="T222" s="251"/>
      <c r="U222" s="251" t="s">
        <v>1215</v>
      </c>
      <c r="V222" s="254" t="s">
        <v>1712</v>
      </c>
      <c r="W222" s="249"/>
      <c r="X222" s="249"/>
      <c r="Y222" s="249"/>
      <c r="Z222" s="249"/>
      <c r="AA222" s="249"/>
      <c r="AB222" s="249"/>
      <c r="AC222" s="249"/>
      <c r="AD222" s="249"/>
      <c r="AE222" s="249"/>
      <c r="AF222" s="249"/>
      <c r="AG222" s="249"/>
      <c r="AH222" s="249"/>
      <c r="AI222" s="249"/>
      <c r="AJ222" s="249"/>
      <c r="AK222" s="249"/>
      <c r="AL222" s="249"/>
      <c r="AM222" s="249"/>
      <c r="AN222" s="249"/>
      <c r="AO222" s="249"/>
      <c r="AP222" s="249"/>
    </row>
    <row r="223" spans="1:42" x14ac:dyDescent="0.35">
      <c r="A223" s="2"/>
      <c r="B223" s="2" t="s">
        <v>653</v>
      </c>
      <c r="C223" s="2" t="s">
        <v>1192</v>
      </c>
      <c r="D223" s="2" t="s">
        <v>1713</v>
      </c>
      <c r="E223" s="2" t="s">
        <v>359</v>
      </c>
      <c r="F223" s="2" t="s">
        <v>31</v>
      </c>
      <c r="G223" s="2" t="s">
        <v>1711</v>
      </c>
      <c r="H223" s="34"/>
      <c r="I223" s="5">
        <v>1.43</v>
      </c>
      <c r="J223" s="5">
        <v>0.36</v>
      </c>
      <c r="K223" s="34"/>
      <c r="L223" s="34"/>
      <c r="M223" s="5">
        <v>1.67</v>
      </c>
      <c r="N223" s="5">
        <v>0.03</v>
      </c>
      <c r="O223" s="34"/>
      <c r="P223" s="251"/>
      <c r="Q223" s="253" t="s">
        <v>245</v>
      </c>
      <c r="R223" s="252" t="s">
        <v>4</v>
      </c>
      <c r="S223" s="251" t="s">
        <v>483</v>
      </c>
      <c r="T223" s="251"/>
      <c r="U223" s="251" t="s">
        <v>1215</v>
      </c>
      <c r="V223" s="254" t="s">
        <v>1712</v>
      </c>
      <c r="W223" s="249"/>
      <c r="X223" s="249"/>
      <c r="Y223" s="249"/>
      <c r="Z223" s="249"/>
      <c r="AA223" s="249"/>
      <c r="AB223" s="249"/>
      <c r="AC223" s="249"/>
      <c r="AD223" s="249"/>
      <c r="AE223" s="249"/>
      <c r="AF223" s="249"/>
      <c r="AG223" s="249"/>
      <c r="AH223" s="249"/>
      <c r="AI223" s="249"/>
      <c r="AJ223" s="249"/>
      <c r="AK223" s="249"/>
      <c r="AL223" s="249"/>
      <c r="AM223" s="249"/>
      <c r="AN223" s="249"/>
      <c r="AO223" s="249"/>
      <c r="AP223" s="249"/>
    </row>
    <row r="224" spans="1:42" s="2" customFormat="1" ht="14" x14ac:dyDescent="0.3">
      <c r="B224" s="2" t="s">
        <v>653</v>
      </c>
      <c r="C224" s="2" t="s">
        <v>669</v>
      </c>
      <c r="D224" s="2" t="s">
        <v>668</v>
      </c>
      <c r="E224" s="2" t="s">
        <v>359</v>
      </c>
      <c r="F224" s="2" t="s">
        <v>31</v>
      </c>
      <c r="H224" s="34" t="s">
        <v>667</v>
      </c>
      <c r="I224" s="5">
        <v>1.9</v>
      </c>
      <c r="J224" s="5">
        <v>0.11</v>
      </c>
      <c r="K224" s="34">
        <v>7</v>
      </c>
      <c r="L224" s="34"/>
      <c r="M224" s="5"/>
      <c r="N224" s="5"/>
      <c r="O224" s="34"/>
      <c r="P224" s="11" t="s">
        <v>347</v>
      </c>
      <c r="Q224" s="39" t="s">
        <v>40</v>
      </c>
      <c r="R224" s="2" t="s">
        <v>4</v>
      </c>
      <c r="S224" s="2" t="s">
        <v>346</v>
      </c>
      <c r="T224" s="2" t="s">
        <v>345</v>
      </c>
      <c r="U224" s="2" t="s">
        <v>1</v>
      </c>
      <c r="V224" s="44" t="s">
        <v>344</v>
      </c>
    </row>
    <row r="225" spans="1:64" s="2" customFormat="1" ht="14" x14ac:dyDescent="0.3">
      <c r="A225" s="7" t="s">
        <v>1069</v>
      </c>
      <c r="B225" s="7"/>
      <c r="C225" s="7" t="s">
        <v>669</v>
      </c>
      <c r="D225" s="7"/>
      <c r="E225" s="7" t="s">
        <v>359</v>
      </c>
      <c r="F225" s="7"/>
      <c r="G225" s="7"/>
      <c r="H225" s="33"/>
      <c r="I225" s="8">
        <f>AVERAGE(I221:I224)</f>
        <v>1.6374999999999997</v>
      </c>
      <c r="J225" s="8">
        <f>STDEV(I221:I224)/SQRT(COUNT(I221:I224))</f>
        <v>9.8011478919564243E-2</v>
      </c>
      <c r="K225" s="33"/>
      <c r="L225" s="33"/>
      <c r="M225" s="8">
        <f>AVERAGE(M221:M224)</f>
        <v>1.6199999999999999</v>
      </c>
      <c r="N225" s="8">
        <f>STDEV(M221:M224)/SQRT(COUNT(M221:M224))</f>
        <v>4.5092497528228914E-2</v>
      </c>
      <c r="O225" s="33"/>
      <c r="P225" s="14"/>
      <c r="Q225" s="38"/>
      <c r="R225" s="7"/>
      <c r="S225" s="7"/>
      <c r="T225" s="7"/>
      <c r="U225" s="7"/>
      <c r="V225" s="13"/>
      <c r="W225" s="7"/>
      <c r="X225" s="7"/>
      <c r="Y225" s="7"/>
      <c r="Z225" s="7"/>
      <c r="AA225" s="7"/>
      <c r="AB225" s="7"/>
      <c r="AC225" s="7"/>
      <c r="AD225" s="7"/>
      <c r="AE225" s="7"/>
      <c r="AF225" s="7"/>
    </row>
    <row r="226" spans="1:64" x14ac:dyDescent="0.35">
      <c r="A226" s="2"/>
      <c r="B226" s="2" t="s">
        <v>653</v>
      </c>
      <c r="C226" s="2" t="s">
        <v>1192</v>
      </c>
      <c r="D226" s="2" t="s">
        <v>1713</v>
      </c>
      <c r="E226" s="2" t="s">
        <v>20</v>
      </c>
      <c r="F226" s="2" t="s">
        <v>1763</v>
      </c>
      <c r="G226" s="2" t="s">
        <v>1792</v>
      </c>
      <c r="H226" s="34"/>
      <c r="I226" s="235">
        <v>0.30464270537636018</v>
      </c>
      <c r="J226" s="5">
        <v>7.2897904085038448E-2</v>
      </c>
      <c r="K226" s="34">
        <v>6</v>
      </c>
      <c r="L226" s="34"/>
      <c r="M226" s="5"/>
      <c r="N226" s="5"/>
      <c r="O226" s="34"/>
      <c r="P226" s="2" t="s">
        <v>798</v>
      </c>
      <c r="Q226" s="42" t="s">
        <v>1139</v>
      </c>
      <c r="R226" s="2" t="s">
        <v>1765</v>
      </c>
      <c r="S226" s="2" t="s">
        <v>1766</v>
      </c>
      <c r="T226" s="2"/>
      <c r="U226" s="2" t="s">
        <v>24</v>
      </c>
      <c r="V226" s="44" t="s">
        <v>1767</v>
      </c>
      <c r="W226" s="2"/>
    </row>
    <row r="227" spans="1:64" x14ac:dyDescent="0.35">
      <c r="A227" s="2"/>
      <c r="B227" s="2" t="s">
        <v>653</v>
      </c>
      <c r="C227" s="2" t="s">
        <v>1192</v>
      </c>
      <c r="D227" s="2" t="s">
        <v>1713</v>
      </c>
      <c r="E227" s="2" t="s">
        <v>20</v>
      </c>
      <c r="F227" s="2" t="s">
        <v>1763</v>
      </c>
      <c r="G227" s="2" t="s">
        <v>1701</v>
      </c>
      <c r="H227" s="34"/>
      <c r="I227" s="5">
        <v>1.6082158946644167</v>
      </c>
      <c r="J227" s="5">
        <v>0.32014590845808405</v>
      </c>
      <c r="K227" s="34">
        <v>6</v>
      </c>
      <c r="L227" s="34"/>
      <c r="M227" s="5"/>
      <c r="N227" s="5"/>
      <c r="O227" s="34"/>
      <c r="P227" s="2" t="s">
        <v>798</v>
      </c>
      <c r="Q227" s="42" t="s">
        <v>1139</v>
      </c>
      <c r="R227" s="2" t="s">
        <v>1765</v>
      </c>
      <c r="S227" s="2" t="s">
        <v>1766</v>
      </c>
      <c r="T227" s="2"/>
      <c r="U227" s="2" t="s">
        <v>24</v>
      </c>
      <c r="V227" s="44" t="s">
        <v>1767</v>
      </c>
      <c r="W227" s="2"/>
    </row>
    <row r="228" spans="1:64" s="2" customFormat="1" ht="14" x14ac:dyDescent="0.3">
      <c r="A228" s="7" t="s">
        <v>1193</v>
      </c>
      <c r="B228" s="7"/>
      <c r="C228" s="7" t="s">
        <v>669</v>
      </c>
      <c r="D228" s="7"/>
      <c r="E228" s="7" t="s">
        <v>20</v>
      </c>
      <c r="F228" s="7"/>
      <c r="G228" s="7"/>
      <c r="H228" s="33"/>
      <c r="I228" s="8">
        <f>AVERAGE(I227)</f>
        <v>1.6082158946644167</v>
      </c>
      <c r="J228" s="8">
        <f>J227/SQRT(K227)</f>
        <v>0.13069901982701321</v>
      </c>
      <c r="K228" s="33"/>
      <c r="L228" s="33"/>
      <c r="M228" s="8"/>
      <c r="N228" s="8"/>
      <c r="O228" s="33"/>
      <c r="P228" s="14"/>
      <c r="Q228" s="38"/>
      <c r="R228" s="7"/>
      <c r="S228" s="7"/>
      <c r="T228" s="7"/>
      <c r="U228" s="7"/>
      <c r="V228" s="13"/>
      <c r="W228" s="7"/>
      <c r="X228" s="7"/>
      <c r="Y228" s="7"/>
      <c r="Z228" s="7"/>
      <c r="AA228" s="7"/>
      <c r="AB228" s="7"/>
      <c r="AC228" s="7"/>
      <c r="AD228" s="7"/>
      <c r="AE228" s="7"/>
      <c r="AF228" s="7"/>
    </row>
    <row r="229" spans="1:64" x14ac:dyDescent="0.35">
      <c r="A229" s="2"/>
      <c r="B229" s="2" t="s">
        <v>1126</v>
      </c>
      <c r="C229" s="2" t="s">
        <v>33</v>
      </c>
      <c r="D229" s="2" t="s">
        <v>32</v>
      </c>
      <c r="E229" s="2" t="s">
        <v>20</v>
      </c>
      <c r="F229" s="2" t="s">
        <v>31</v>
      </c>
      <c r="G229" s="2" t="s">
        <v>1024</v>
      </c>
      <c r="H229" s="34" t="s">
        <v>30</v>
      </c>
      <c r="I229" s="235">
        <v>0.18</v>
      </c>
      <c r="J229" s="5">
        <v>0.03</v>
      </c>
      <c r="K229" s="34">
        <v>3</v>
      </c>
      <c r="L229" s="34" t="s">
        <v>29</v>
      </c>
      <c r="M229" s="5">
        <v>1.63</v>
      </c>
      <c r="N229" s="5">
        <v>0.28000000000000003</v>
      </c>
      <c r="O229" s="34"/>
      <c r="P229" s="2" t="s">
        <v>28</v>
      </c>
      <c r="Q229" s="39" t="s">
        <v>27</v>
      </c>
      <c r="R229" s="2" t="s">
        <v>26</v>
      </c>
      <c r="S229" s="2" t="s">
        <v>25</v>
      </c>
      <c r="T229" s="2"/>
      <c r="U229" s="2" t="s">
        <v>24</v>
      </c>
      <c r="V229" s="44" t="s">
        <v>23</v>
      </c>
      <c r="W229" s="2"/>
    </row>
    <row r="230" spans="1:64" x14ac:dyDescent="0.35">
      <c r="A230" s="2"/>
      <c r="B230" s="2" t="s">
        <v>1126</v>
      </c>
      <c r="C230" s="2" t="s">
        <v>33</v>
      </c>
      <c r="D230" s="2" t="s">
        <v>1770</v>
      </c>
      <c r="E230" s="2" t="s">
        <v>20</v>
      </c>
      <c r="F230" s="2" t="s">
        <v>1763</v>
      </c>
      <c r="G230" s="2" t="s">
        <v>1792</v>
      </c>
      <c r="H230" s="34"/>
      <c r="I230" s="235">
        <v>0.38544899363233665</v>
      </c>
      <c r="J230" s="5">
        <v>0.23331746933962502</v>
      </c>
      <c r="K230" s="34">
        <v>4</v>
      </c>
      <c r="L230" s="34"/>
      <c r="M230" s="5"/>
      <c r="N230" s="5"/>
      <c r="O230" s="34"/>
      <c r="P230" s="2" t="s">
        <v>798</v>
      </c>
      <c r="Q230" s="42" t="s">
        <v>1139</v>
      </c>
      <c r="R230" s="2" t="s">
        <v>1765</v>
      </c>
      <c r="S230" s="2" t="s">
        <v>1766</v>
      </c>
      <c r="T230" s="2"/>
      <c r="U230" s="2" t="s">
        <v>24</v>
      </c>
      <c r="V230" s="44" t="s">
        <v>1767</v>
      </c>
      <c r="W230" s="2"/>
    </row>
    <row r="231" spans="1:64" x14ac:dyDescent="0.35">
      <c r="A231" s="2"/>
      <c r="B231" s="2" t="s">
        <v>1126</v>
      </c>
      <c r="C231" s="2" t="s">
        <v>33</v>
      </c>
      <c r="D231" s="2" t="s">
        <v>1770</v>
      </c>
      <c r="E231" s="2" t="s">
        <v>20</v>
      </c>
      <c r="F231" s="2" t="s">
        <v>1763</v>
      </c>
      <c r="G231" s="2" t="s">
        <v>1701</v>
      </c>
      <c r="H231" s="34" t="s">
        <v>325</v>
      </c>
      <c r="I231" s="5">
        <v>0.83953826366344109</v>
      </c>
      <c r="J231" s="5">
        <v>0.32813818880891826</v>
      </c>
      <c r="K231" s="34">
        <v>4</v>
      </c>
      <c r="L231" s="34"/>
      <c r="M231" s="5"/>
      <c r="N231" s="5"/>
      <c r="O231" s="34"/>
      <c r="P231" s="2" t="s">
        <v>798</v>
      </c>
      <c r="Q231" s="42" t="s">
        <v>1139</v>
      </c>
      <c r="R231" s="2" t="s">
        <v>1765</v>
      </c>
      <c r="S231" s="2" t="s">
        <v>1766</v>
      </c>
      <c r="T231" s="2"/>
      <c r="U231" s="2" t="s">
        <v>24</v>
      </c>
      <c r="V231" s="44" t="s">
        <v>1767</v>
      </c>
      <c r="W231" s="2"/>
    </row>
    <row r="232" spans="1:64" x14ac:dyDescent="0.35">
      <c r="A232" s="7" t="s">
        <v>929</v>
      </c>
      <c r="B232" s="7"/>
      <c r="C232" s="7" t="s">
        <v>33</v>
      </c>
      <c r="D232" s="7"/>
      <c r="E232" s="7" t="s">
        <v>20</v>
      </c>
      <c r="F232" s="7"/>
      <c r="G232" s="7"/>
      <c r="H232" s="33"/>
      <c r="I232" s="8">
        <f>AVERAGE(I231)</f>
        <v>0.83953826366344109</v>
      </c>
      <c r="J232" s="8">
        <f>J231/SQRT(K231)</f>
        <v>0.16406909440445913</v>
      </c>
      <c r="K232" s="33"/>
      <c r="L232" s="33"/>
      <c r="M232" s="8">
        <f>AVERAGE(M229:M231)</f>
        <v>1.63</v>
      </c>
      <c r="N232" s="8">
        <f>N229/SQRT(3)</f>
        <v>0.16165807537309523</v>
      </c>
      <c r="O232" s="33"/>
      <c r="P232" s="7"/>
      <c r="Q232" s="38"/>
      <c r="R232" s="7"/>
      <c r="S232" s="7"/>
      <c r="T232" s="7"/>
      <c r="U232" s="7"/>
      <c r="V232" s="13"/>
      <c r="W232" s="7"/>
      <c r="X232" s="7"/>
      <c r="Y232" s="7"/>
      <c r="Z232" s="7"/>
      <c r="AA232" s="7"/>
      <c r="AB232" s="7"/>
      <c r="AC232" s="7"/>
      <c r="AD232" s="7"/>
      <c r="AE232" s="7"/>
      <c r="AF232" s="7"/>
    </row>
    <row r="233" spans="1:64" x14ac:dyDescent="0.35">
      <c r="A233" s="2"/>
      <c r="B233" s="2" t="s">
        <v>1126</v>
      </c>
      <c r="C233" s="2" t="s">
        <v>33</v>
      </c>
      <c r="D233" s="2" t="s">
        <v>1770</v>
      </c>
      <c r="E233" s="2" t="s">
        <v>82</v>
      </c>
      <c r="F233" s="2" t="s">
        <v>1763</v>
      </c>
      <c r="G233" s="2" t="s">
        <v>1024</v>
      </c>
      <c r="H233" s="34"/>
      <c r="I233" s="5">
        <v>0.45876118914901526</v>
      </c>
      <c r="J233" s="5">
        <v>3.750224614783304E-2</v>
      </c>
      <c r="K233" s="34">
        <v>3</v>
      </c>
      <c r="L233" s="34"/>
      <c r="M233" s="5"/>
      <c r="N233" s="5"/>
      <c r="O233" s="34"/>
      <c r="P233" s="2" t="s">
        <v>798</v>
      </c>
      <c r="Q233" s="42" t="s">
        <v>1139</v>
      </c>
      <c r="R233" s="2" t="s">
        <v>1765</v>
      </c>
      <c r="S233" s="2" t="s">
        <v>1766</v>
      </c>
      <c r="T233" s="2"/>
      <c r="U233" s="2" t="s">
        <v>24</v>
      </c>
      <c r="V233" s="44" t="s">
        <v>1790</v>
      </c>
      <c r="W233" s="2"/>
    </row>
    <row r="234" spans="1:64" x14ac:dyDescent="0.35">
      <c r="A234" s="7" t="s">
        <v>930</v>
      </c>
      <c r="B234" s="7"/>
      <c r="C234" s="7" t="s">
        <v>33</v>
      </c>
      <c r="D234" s="7"/>
      <c r="E234" s="7" t="s">
        <v>82</v>
      </c>
      <c r="F234" s="7"/>
      <c r="G234" s="7"/>
      <c r="H234" s="33"/>
      <c r="I234" s="8">
        <f>AVERAGE(I233)</f>
        <v>0.45876118914901526</v>
      </c>
      <c r="J234" s="8">
        <f>J233/SQRT(K233)</f>
        <v>2.1651931908667012E-2</v>
      </c>
      <c r="K234" s="33"/>
      <c r="L234" s="33"/>
      <c r="M234" s="8"/>
      <c r="N234" s="8"/>
      <c r="O234" s="33"/>
      <c r="P234" s="7"/>
      <c r="Q234" s="38"/>
      <c r="R234" s="7"/>
      <c r="S234" s="7"/>
      <c r="T234" s="7"/>
      <c r="U234" s="7"/>
      <c r="V234" s="13"/>
      <c r="W234" s="7"/>
      <c r="X234" s="7"/>
      <c r="Y234" s="7"/>
      <c r="Z234" s="7"/>
      <c r="AA234" s="7"/>
      <c r="AB234" s="7"/>
      <c r="AC234" s="7"/>
      <c r="AD234" s="7"/>
      <c r="AE234" s="7"/>
      <c r="AF234" s="7"/>
    </row>
    <row r="235" spans="1:64" x14ac:dyDescent="0.35">
      <c r="A235" s="2"/>
      <c r="B235" s="2" t="s">
        <v>461</v>
      </c>
      <c r="C235" s="2" t="s">
        <v>932</v>
      </c>
      <c r="D235" s="2" t="s">
        <v>1552</v>
      </c>
      <c r="E235" s="2" t="s">
        <v>82</v>
      </c>
      <c r="F235" s="2"/>
      <c r="G235" s="2"/>
      <c r="H235" s="34" t="s">
        <v>1553</v>
      </c>
      <c r="I235" s="5">
        <v>1.06</v>
      </c>
      <c r="J235" s="5"/>
      <c r="K235" s="34"/>
      <c r="L235" s="34" t="s">
        <v>1554</v>
      </c>
      <c r="M235" s="5">
        <v>0.88</v>
      </c>
      <c r="N235" s="5"/>
      <c r="O235" s="34"/>
      <c r="P235" s="251" t="s">
        <v>1484</v>
      </c>
      <c r="Q235" s="252" t="s">
        <v>87</v>
      </c>
      <c r="R235" s="252" t="s">
        <v>502</v>
      </c>
      <c r="S235" s="251" t="s">
        <v>1485</v>
      </c>
      <c r="T235" s="251" t="s">
        <v>1486</v>
      </c>
      <c r="U235" s="251" t="s">
        <v>13</v>
      </c>
      <c r="V235" s="286" t="s">
        <v>1487</v>
      </c>
      <c r="W235" s="286"/>
      <c r="X235" s="286"/>
      <c r="Y235" s="286"/>
      <c r="Z235" s="286"/>
      <c r="AA235" s="286"/>
      <c r="AB235" s="286"/>
      <c r="AC235" s="286"/>
      <c r="AD235" s="286"/>
      <c r="AE235" s="286"/>
      <c r="AF235" s="286"/>
      <c r="AG235" s="286"/>
      <c r="AH235" s="286"/>
      <c r="AI235" s="286"/>
      <c r="AJ235" s="286"/>
      <c r="AK235" s="286"/>
      <c r="AL235" s="286"/>
      <c r="AM235" s="286"/>
      <c r="AN235" s="286"/>
      <c r="AO235" s="286"/>
      <c r="AP235" s="286"/>
    </row>
    <row r="236" spans="1:64" s="12" customFormat="1" x14ac:dyDescent="0.35">
      <c r="A236" s="7" t="s">
        <v>933</v>
      </c>
      <c r="B236" s="7"/>
      <c r="C236" s="7" t="s">
        <v>932</v>
      </c>
      <c r="D236" s="7"/>
      <c r="E236" s="7" t="s">
        <v>82</v>
      </c>
      <c r="F236" s="7"/>
      <c r="G236" s="7"/>
      <c r="H236" s="33"/>
      <c r="I236" s="8">
        <f>AVERAGE(I235)</f>
        <v>1.06</v>
      </c>
      <c r="J236" s="8">
        <f>(1.92-I235)/4</f>
        <v>0.21499999999999997</v>
      </c>
      <c r="K236" s="33"/>
      <c r="L236" s="33"/>
      <c r="M236" s="8">
        <f>AVERAGE(M235)</f>
        <v>0.88</v>
      </c>
      <c r="N236" s="8">
        <f>(1.05-M235)/2</f>
        <v>8.500000000000002E-2</v>
      </c>
      <c r="O236" s="33"/>
      <c r="P236" s="7"/>
      <c r="Q236" s="38"/>
      <c r="R236" s="7"/>
      <c r="S236" s="7"/>
      <c r="T236" s="7"/>
      <c r="U236" s="7"/>
      <c r="V236" s="13"/>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spans="1:64" s="2" customFormat="1" ht="14" x14ac:dyDescent="0.3">
      <c r="A237" s="7" t="s">
        <v>936</v>
      </c>
      <c r="B237" s="7"/>
      <c r="C237" s="7" t="s">
        <v>646</v>
      </c>
      <c r="D237" s="7" t="s">
        <v>645</v>
      </c>
      <c r="E237" s="7" t="s">
        <v>644</v>
      </c>
      <c r="F237" s="7" t="s">
        <v>31</v>
      </c>
      <c r="G237" s="7" t="s">
        <v>1054</v>
      </c>
      <c r="H237" s="33"/>
      <c r="I237" s="8">
        <f>1.64*1.2</f>
        <v>1.9679999999999997</v>
      </c>
      <c r="J237" s="8">
        <f>0.28*1.2</f>
        <v>0.33600000000000002</v>
      </c>
      <c r="K237" s="33"/>
      <c r="L237" s="33"/>
      <c r="M237" s="8"/>
      <c r="N237" s="8"/>
      <c r="O237" s="33"/>
      <c r="P237" s="7"/>
      <c r="Q237" s="38" t="s">
        <v>40</v>
      </c>
      <c r="R237" s="7" t="s">
        <v>370</v>
      </c>
      <c r="S237" s="7" t="s">
        <v>632</v>
      </c>
      <c r="T237" s="7"/>
      <c r="U237" s="7" t="s">
        <v>85</v>
      </c>
      <c r="V237" s="13" t="s">
        <v>631</v>
      </c>
      <c r="W237" s="7" t="s">
        <v>1085</v>
      </c>
      <c r="X237" s="7"/>
      <c r="Y237" s="7"/>
      <c r="Z237" s="7"/>
      <c r="AA237" s="7"/>
      <c r="AB237" s="7"/>
      <c r="AC237" s="7"/>
      <c r="AD237" s="7"/>
      <c r="AE237" s="7"/>
      <c r="AF237" s="7"/>
    </row>
    <row r="238" spans="1:64" s="2" customFormat="1" ht="14" x14ac:dyDescent="0.3">
      <c r="B238" s="2" t="s">
        <v>564</v>
      </c>
      <c r="C238" s="2" t="s">
        <v>1555</v>
      </c>
      <c r="D238" s="2" t="s">
        <v>1556</v>
      </c>
      <c r="E238" s="2" t="s">
        <v>20</v>
      </c>
      <c r="F238" s="2" t="s">
        <v>1483</v>
      </c>
      <c r="H238" s="34" t="s">
        <v>1557</v>
      </c>
      <c r="I238" s="235">
        <v>0.44</v>
      </c>
      <c r="J238" s="5"/>
      <c r="K238" s="34"/>
      <c r="L238" s="34" t="s">
        <v>1558</v>
      </c>
      <c r="M238" s="5">
        <v>1.61</v>
      </c>
      <c r="N238" s="5"/>
      <c r="O238" s="34"/>
      <c r="P238" s="251" t="s">
        <v>1484</v>
      </c>
      <c r="Q238" s="252" t="s">
        <v>87</v>
      </c>
      <c r="R238" s="252" t="s">
        <v>502</v>
      </c>
      <c r="S238" s="251" t="s">
        <v>1485</v>
      </c>
      <c r="T238" s="251" t="s">
        <v>1486</v>
      </c>
      <c r="U238" s="251" t="s">
        <v>13</v>
      </c>
      <c r="V238" s="286" t="s">
        <v>1487</v>
      </c>
      <c r="W238" s="286"/>
      <c r="X238" s="286"/>
      <c r="Y238" s="286"/>
      <c r="Z238" s="286"/>
      <c r="AA238" s="286"/>
      <c r="AB238" s="286"/>
      <c r="AC238" s="286"/>
      <c r="AD238" s="286"/>
      <c r="AE238" s="286"/>
      <c r="AF238" s="286"/>
      <c r="AG238" s="286"/>
      <c r="AH238" s="286"/>
      <c r="AI238" s="286"/>
      <c r="AJ238" s="286"/>
      <c r="AK238" s="286"/>
      <c r="AL238" s="286"/>
      <c r="AM238" s="286"/>
      <c r="AN238" s="286"/>
      <c r="AO238" s="286"/>
      <c r="AP238" s="286"/>
    </row>
    <row r="239" spans="1:64" s="7" customFormat="1" ht="14" x14ac:dyDescent="0.3">
      <c r="A239" s="7" t="s">
        <v>1652</v>
      </c>
      <c r="C239" s="7" t="s">
        <v>1555</v>
      </c>
      <c r="E239" s="7" t="s">
        <v>20</v>
      </c>
      <c r="H239" s="33"/>
      <c r="I239" s="8">
        <f>AVERAGE(I238)</f>
        <v>0.44</v>
      </c>
      <c r="J239" s="8">
        <f>(0.51-I238)/2</f>
        <v>3.5000000000000003E-2</v>
      </c>
      <c r="K239" s="33"/>
      <c r="L239" s="33"/>
      <c r="M239" s="8">
        <f>AVERAGE(M238)</f>
        <v>1.61</v>
      </c>
      <c r="N239" s="8">
        <f>(1.78-M238)/2</f>
        <v>8.4999999999999964E-2</v>
      </c>
      <c r="O239" s="33"/>
      <c r="Q239" s="38"/>
      <c r="V239" s="13"/>
    </row>
    <row r="240" spans="1:64" s="2" customFormat="1" ht="14" x14ac:dyDescent="0.3">
      <c r="B240" s="2" t="s">
        <v>1480</v>
      </c>
      <c r="C240" s="2" t="s">
        <v>1559</v>
      </c>
      <c r="D240" s="2" t="s">
        <v>1560</v>
      </c>
      <c r="E240" s="2" t="s">
        <v>82</v>
      </c>
      <c r="F240" s="2" t="s">
        <v>1483</v>
      </c>
      <c r="H240" s="34"/>
      <c r="I240" s="5">
        <v>0.97473079373956439</v>
      </c>
      <c r="J240" s="5"/>
      <c r="K240" s="34"/>
      <c r="L240" s="34" t="s">
        <v>1564</v>
      </c>
      <c r="M240" s="5">
        <v>1.2424986348219738</v>
      </c>
      <c r="N240" s="5"/>
      <c r="O240" s="34"/>
      <c r="P240" s="251" t="s">
        <v>1484</v>
      </c>
      <c r="Q240" s="252" t="s">
        <v>87</v>
      </c>
      <c r="R240" s="252" t="s">
        <v>502</v>
      </c>
      <c r="S240" s="251" t="s">
        <v>1485</v>
      </c>
      <c r="T240" s="251" t="s">
        <v>1486</v>
      </c>
      <c r="U240" s="251" t="s">
        <v>13</v>
      </c>
      <c r="V240" s="286" t="s">
        <v>1487</v>
      </c>
      <c r="W240" s="286"/>
      <c r="X240" s="286"/>
      <c r="Y240" s="286"/>
      <c r="Z240" s="286"/>
      <c r="AA240" s="286"/>
      <c r="AB240" s="286"/>
      <c r="AC240" s="286"/>
      <c r="AD240" s="286"/>
      <c r="AE240" s="286"/>
      <c r="AF240" s="286"/>
      <c r="AG240" s="286"/>
      <c r="AH240" s="286"/>
      <c r="AI240" s="286"/>
      <c r="AJ240" s="286"/>
      <c r="AK240" s="286"/>
      <c r="AL240" s="286"/>
      <c r="AM240" s="286"/>
      <c r="AN240" s="286"/>
      <c r="AO240" s="286"/>
      <c r="AP240" s="286"/>
    </row>
    <row r="241" spans="1:42" s="2" customFormat="1" ht="14" x14ac:dyDescent="0.3">
      <c r="B241" s="2" t="s">
        <v>1480</v>
      </c>
      <c r="C241" s="2" t="s">
        <v>1559</v>
      </c>
      <c r="D241" s="2" t="s">
        <v>1561</v>
      </c>
      <c r="E241" s="2" t="s">
        <v>82</v>
      </c>
      <c r="F241" s="2" t="s">
        <v>1483</v>
      </c>
      <c r="H241" s="34"/>
      <c r="I241" s="5"/>
      <c r="J241" s="5"/>
      <c r="K241" s="34"/>
      <c r="L241" s="34" t="s">
        <v>1565</v>
      </c>
      <c r="M241" s="5">
        <v>1.1063352396666666</v>
      </c>
      <c r="N241" s="5"/>
      <c r="O241" s="34"/>
      <c r="P241" s="251" t="s">
        <v>1484</v>
      </c>
      <c r="Q241" s="252" t="s">
        <v>87</v>
      </c>
      <c r="R241" s="252" t="s">
        <v>502</v>
      </c>
      <c r="S241" s="251" t="s">
        <v>1485</v>
      </c>
      <c r="T241" s="251" t="s">
        <v>1486</v>
      </c>
      <c r="U241" s="251" t="s">
        <v>13</v>
      </c>
      <c r="V241" s="286" t="s">
        <v>1487</v>
      </c>
      <c r="W241" s="286"/>
      <c r="X241" s="286"/>
      <c r="Y241" s="286"/>
      <c r="Z241" s="286"/>
      <c r="AA241" s="286"/>
      <c r="AB241" s="286"/>
      <c r="AC241" s="286"/>
      <c r="AD241" s="286"/>
      <c r="AE241" s="286"/>
      <c r="AF241" s="286"/>
      <c r="AG241" s="286"/>
      <c r="AH241" s="286"/>
      <c r="AI241" s="286"/>
      <c r="AJ241" s="286"/>
      <c r="AK241" s="286"/>
      <c r="AL241" s="286"/>
      <c r="AM241" s="286"/>
      <c r="AN241" s="286"/>
      <c r="AO241" s="286"/>
      <c r="AP241" s="286"/>
    </row>
    <row r="242" spans="1:42" s="2" customFormat="1" ht="14" x14ac:dyDescent="0.3">
      <c r="B242" s="2" t="s">
        <v>1480</v>
      </c>
      <c r="C242" s="2" t="s">
        <v>1559</v>
      </c>
      <c r="D242" s="2" t="s">
        <v>1562</v>
      </c>
      <c r="E242" s="2" t="s">
        <v>82</v>
      </c>
      <c r="F242" s="2" t="s">
        <v>1483</v>
      </c>
      <c r="H242" s="34" t="s">
        <v>1563</v>
      </c>
      <c r="I242" s="5">
        <v>1.175727473</v>
      </c>
      <c r="J242" s="5"/>
      <c r="K242" s="34"/>
      <c r="L242" s="34" t="s">
        <v>1504</v>
      </c>
      <c r="M242" s="5">
        <v>1.0362504880000001</v>
      </c>
      <c r="N242" s="5"/>
      <c r="O242" s="34"/>
      <c r="P242" s="251" t="s">
        <v>1484</v>
      </c>
      <c r="Q242" s="252" t="s">
        <v>87</v>
      </c>
      <c r="R242" s="252" t="s">
        <v>502</v>
      </c>
      <c r="S242" s="251" t="s">
        <v>1485</v>
      </c>
      <c r="T242" s="251" t="s">
        <v>1486</v>
      </c>
      <c r="U242" s="251" t="s">
        <v>13</v>
      </c>
      <c r="V242" s="286" t="s">
        <v>1487</v>
      </c>
      <c r="W242" s="286"/>
      <c r="X242" s="286"/>
      <c r="Y242" s="286"/>
      <c r="Z242" s="286"/>
      <c r="AA242" s="286"/>
      <c r="AB242" s="286"/>
      <c r="AC242" s="286"/>
      <c r="AD242" s="286"/>
      <c r="AE242" s="286"/>
      <c r="AF242" s="286"/>
      <c r="AG242" s="286"/>
      <c r="AH242" s="286"/>
      <c r="AI242" s="286"/>
      <c r="AJ242" s="286"/>
      <c r="AK242" s="286"/>
      <c r="AL242" s="286"/>
      <c r="AM242" s="286"/>
      <c r="AN242" s="286"/>
      <c r="AO242" s="286"/>
      <c r="AP242" s="286"/>
    </row>
    <row r="243" spans="1:42" x14ac:dyDescent="0.35">
      <c r="A243" s="2"/>
      <c r="B243" s="2" t="s">
        <v>1480</v>
      </c>
      <c r="C243" s="2" t="s">
        <v>1559</v>
      </c>
      <c r="D243" s="2" t="s">
        <v>90</v>
      </c>
      <c r="E243" s="2" t="s">
        <v>82</v>
      </c>
      <c r="F243" s="2" t="s">
        <v>1763</v>
      </c>
      <c r="G243" s="2" t="s">
        <v>1024</v>
      </c>
      <c r="H243" s="34"/>
      <c r="I243" s="5">
        <v>0.44222362975391505</v>
      </c>
      <c r="J243" s="5">
        <v>2.0696596283323463E-2</v>
      </c>
      <c r="K243" s="34">
        <v>2</v>
      </c>
      <c r="L243" s="34"/>
      <c r="M243" s="5"/>
      <c r="N243" s="5"/>
      <c r="O243" s="34"/>
      <c r="P243" s="2" t="s">
        <v>798</v>
      </c>
      <c r="Q243" s="42" t="s">
        <v>1139</v>
      </c>
      <c r="R243" s="2" t="s">
        <v>1765</v>
      </c>
      <c r="S243" s="2" t="s">
        <v>1766</v>
      </c>
      <c r="T243" s="2"/>
      <c r="U243" s="2" t="s">
        <v>24</v>
      </c>
      <c r="V243" s="44" t="s">
        <v>1790</v>
      </c>
      <c r="W243" s="2"/>
    </row>
    <row r="244" spans="1:42" s="2" customFormat="1" ht="14" x14ac:dyDescent="0.3">
      <c r="B244" s="2" t="s">
        <v>1480</v>
      </c>
      <c r="C244" s="2" t="s">
        <v>1795</v>
      </c>
      <c r="D244" s="2" t="s">
        <v>90</v>
      </c>
      <c r="E244" s="2" t="s">
        <v>82</v>
      </c>
      <c r="F244" s="2" t="s">
        <v>1796</v>
      </c>
      <c r="H244" s="34"/>
      <c r="I244" s="5">
        <v>1.5</v>
      </c>
      <c r="J244" s="5">
        <v>0</v>
      </c>
      <c r="K244" s="34">
        <v>1</v>
      </c>
      <c r="L244" s="34"/>
      <c r="M244" s="5"/>
      <c r="N244" s="5"/>
      <c r="O244" s="34"/>
      <c r="P244" s="2" t="s">
        <v>120</v>
      </c>
      <c r="Q244" s="39" t="s">
        <v>119</v>
      </c>
      <c r="R244" s="2" t="s">
        <v>15</v>
      </c>
      <c r="S244" s="2" t="s">
        <v>118</v>
      </c>
      <c r="U244" s="2" t="s">
        <v>13</v>
      </c>
      <c r="V244" s="44" t="s">
        <v>117</v>
      </c>
    </row>
    <row r="245" spans="1:42" s="7" customFormat="1" ht="14" x14ac:dyDescent="0.3">
      <c r="A245" s="7" t="s">
        <v>939</v>
      </c>
      <c r="C245" s="7" t="s">
        <v>1559</v>
      </c>
      <c r="E245" s="7" t="s">
        <v>82</v>
      </c>
      <c r="H245" s="33"/>
      <c r="I245" s="8">
        <f>AVERAGE(I240:I244)</f>
        <v>1.0231704741233698</v>
      </c>
      <c r="J245" s="8">
        <f>STDEV(I240:I244)/SQRT(COUNT((I240:I244)))</f>
        <v>0.22182682308362558</v>
      </c>
      <c r="K245" s="33"/>
      <c r="L245" s="33"/>
      <c r="M245" s="8">
        <f>AVERAGE(M240:M244)</f>
        <v>1.1283614541628804</v>
      </c>
      <c r="N245" s="8">
        <f>STDEV(M240:M244)/SQRT(COUNT((M240:M244)))</f>
        <v>6.0548713475596136E-2</v>
      </c>
      <c r="O245" s="33"/>
      <c r="Q245" s="38"/>
      <c r="V245" s="13"/>
    </row>
    <row r="246" spans="1:42" s="2" customFormat="1" ht="14" x14ac:dyDescent="0.3">
      <c r="B246" s="2" t="s">
        <v>1480</v>
      </c>
      <c r="C246" s="2" t="s">
        <v>1559</v>
      </c>
      <c r="D246" s="2" t="s">
        <v>1566</v>
      </c>
      <c r="E246" s="2" t="s">
        <v>20</v>
      </c>
      <c r="H246" s="34"/>
      <c r="I246" s="5"/>
      <c r="J246" s="5"/>
      <c r="K246" s="34"/>
      <c r="L246" s="34"/>
      <c r="M246" s="5">
        <v>1.53</v>
      </c>
      <c r="N246" s="5"/>
      <c r="O246" s="34"/>
      <c r="Q246" s="39"/>
      <c r="V246" s="44"/>
    </row>
    <row r="247" spans="1:42" s="7" customFormat="1" ht="14" x14ac:dyDescent="0.3">
      <c r="A247" s="7" t="s">
        <v>938</v>
      </c>
      <c r="C247" s="7" t="s">
        <v>1559</v>
      </c>
      <c r="E247" s="7" t="s">
        <v>20</v>
      </c>
      <c r="H247" s="33"/>
      <c r="I247" s="8"/>
      <c r="J247" s="8"/>
      <c r="K247" s="33"/>
      <c r="L247" s="33"/>
      <c r="M247" s="8">
        <f>AVERAGE(M246)</f>
        <v>1.53</v>
      </c>
      <c r="N247" s="8">
        <v>0</v>
      </c>
      <c r="O247" s="33"/>
      <c r="Q247" s="38"/>
      <c r="V247" s="13"/>
    </row>
    <row r="248" spans="1:42" s="2" customFormat="1" ht="14" x14ac:dyDescent="0.3">
      <c r="B248" s="2" t="s">
        <v>461</v>
      </c>
      <c r="C248" s="2" t="s">
        <v>499</v>
      </c>
      <c r="D248" s="2" t="s">
        <v>90</v>
      </c>
      <c r="E248" s="2" t="s">
        <v>508</v>
      </c>
      <c r="F248" s="2" t="s">
        <v>409</v>
      </c>
      <c r="H248" s="34"/>
      <c r="I248" s="5">
        <v>1.72</v>
      </c>
      <c r="J248" s="5">
        <v>0.41</v>
      </c>
      <c r="K248" s="34">
        <v>5</v>
      </c>
      <c r="L248" s="34"/>
      <c r="M248" s="5"/>
      <c r="N248" s="5"/>
      <c r="O248" s="34"/>
      <c r="Q248" s="39" t="s">
        <v>40</v>
      </c>
      <c r="R248" s="2" t="s">
        <v>4</v>
      </c>
      <c r="S248" s="2" t="s">
        <v>509</v>
      </c>
      <c r="U248" s="2" t="s">
        <v>191</v>
      </c>
      <c r="V248" s="44" t="s">
        <v>1125</v>
      </c>
    </row>
    <row r="249" spans="1:42" s="2" customFormat="1" ht="14" x14ac:dyDescent="0.3">
      <c r="B249" s="2" t="s">
        <v>461</v>
      </c>
      <c r="C249" s="2" t="s">
        <v>499</v>
      </c>
      <c r="D249" s="2" t="s">
        <v>90</v>
      </c>
      <c r="E249" s="2" t="s">
        <v>508</v>
      </c>
      <c r="F249" s="2" t="s">
        <v>409</v>
      </c>
      <c r="H249" s="34"/>
      <c r="I249" s="5">
        <v>2.93</v>
      </c>
      <c r="J249" s="5">
        <v>0.42</v>
      </c>
      <c r="K249" s="34">
        <v>3</v>
      </c>
      <c r="L249" s="34"/>
      <c r="M249" s="5"/>
      <c r="N249" s="5"/>
      <c r="O249" s="34"/>
      <c r="Q249" s="39" t="s">
        <v>40</v>
      </c>
      <c r="R249" s="2" t="s">
        <v>4</v>
      </c>
      <c r="S249" s="2" t="s">
        <v>507</v>
      </c>
      <c r="U249" s="2" t="s">
        <v>191</v>
      </c>
      <c r="V249" s="44" t="s">
        <v>1125</v>
      </c>
    </row>
    <row r="250" spans="1:42" s="2" customFormat="1" ht="14" x14ac:dyDescent="0.3">
      <c r="B250" s="2" t="s">
        <v>461</v>
      </c>
      <c r="C250" s="2" t="s">
        <v>499</v>
      </c>
      <c r="D250" s="2" t="s">
        <v>506</v>
      </c>
      <c r="E250" s="2" t="s">
        <v>508</v>
      </c>
      <c r="F250" s="2" t="s">
        <v>31</v>
      </c>
      <c r="G250" s="2" t="s">
        <v>505</v>
      </c>
      <c r="H250" s="34" t="s">
        <v>504</v>
      </c>
      <c r="I250" s="5">
        <v>2.46</v>
      </c>
      <c r="J250" s="5">
        <v>0.61</v>
      </c>
      <c r="K250" s="34">
        <v>23</v>
      </c>
      <c r="L250" s="34"/>
      <c r="M250" s="5"/>
      <c r="N250" s="5"/>
      <c r="O250" s="34"/>
      <c r="P250" s="2" t="s">
        <v>114</v>
      </c>
      <c r="Q250" s="39" t="s">
        <v>503</v>
      </c>
      <c r="R250" s="2" t="s">
        <v>502</v>
      </c>
      <c r="S250" s="2" t="s">
        <v>501</v>
      </c>
      <c r="U250" s="2" t="s">
        <v>13</v>
      </c>
      <c r="V250" s="44" t="s">
        <v>500</v>
      </c>
    </row>
    <row r="251" spans="1:42" x14ac:dyDescent="0.35">
      <c r="A251" s="2"/>
      <c r="B251" s="2" t="s">
        <v>461</v>
      </c>
      <c r="C251" s="2" t="s">
        <v>499</v>
      </c>
      <c r="D251" s="2" t="s">
        <v>506</v>
      </c>
      <c r="E251" s="2" t="s">
        <v>508</v>
      </c>
      <c r="F251" s="2" t="s">
        <v>1483</v>
      </c>
      <c r="G251" s="2"/>
      <c r="H251" s="34"/>
      <c r="I251" s="5"/>
      <c r="J251" s="5"/>
      <c r="K251" s="34"/>
      <c r="L251" s="34"/>
      <c r="M251" s="5">
        <v>1.69</v>
      </c>
      <c r="N251" s="5">
        <v>0.16</v>
      </c>
      <c r="O251" s="34">
        <v>48</v>
      </c>
      <c r="P251" s="2"/>
      <c r="Q251" s="39"/>
      <c r="R251" s="2" t="s">
        <v>502</v>
      </c>
      <c r="S251" s="2" t="s">
        <v>1734</v>
      </c>
      <c r="T251" s="2"/>
      <c r="U251" s="2" t="s">
        <v>13</v>
      </c>
      <c r="V251" s="44" t="s">
        <v>1735</v>
      </c>
      <c r="W251" s="2"/>
    </row>
    <row r="252" spans="1:42" s="2" customFormat="1" ht="14" x14ac:dyDescent="0.3">
      <c r="B252" s="2" t="s">
        <v>461</v>
      </c>
      <c r="C252" s="2" t="s">
        <v>499</v>
      </c>
      <c r="D252" s="2" t="s">
        <v>1568</v>
      </c>
      <c r="E252" s="2" t="s">
        <v>1567</v>
      </c>
      <c r="F252" s="2" t="s">
        <v>1483</v>
      </c>
      <c r="H252" s="34"/>
      <c r="I252" s="5"/>
      <c r="J252" s="5"/>
      <c r="K252" s="34"/>
      <c r="L252" s="34" t="s">
        <v>1569</v>
      </c>
      <c r="M252" s="5">
        <v>1.53</v>
      </c>
      <c r="N252" s="5"/>
      <c r="O252" s="34"/>
      <c r="P252" s="251" t="s">
        <v>1484</v>
      </c>
      <c r="Q252" s="252" t="s">
        <v>87</v>
      </c>
      <c r="R252" s="252" t="s">
        <v>502</v>
      </c>
      <c r="S252" s="251" t="s">
        <v>1485</v>
      </c>
      <c r="T252" s="251" t="s">
        <v>1486</v>
      </c>
      <c r="U252" s="251" t="s">
        <v>13</v>
      </c>
      <c r="V252" s="286" t="s">
        <v>1487</v>
      </c>
      <c r="W252" s="286"/>
      <c r="X252" s="286"/>
      <c r="Y252" s="286"/>
      <c r="Z252" s="286"/>
      <c r="AA252" s="286"/>
      <c r="AB252" s="286"/>
      <c r="AC252" s="286"/>
      <c r="AD252" s="286"/>
      <c r="AE252" s="286"/>
      <c r="AF252" s="286"/>
      <c r="AG252" s="286"/>
      <c r="AH252" s="286"/>
      <c r="AI252" s="286"/>
      <c r="AJ252" s="286"/>
      <c r="AK252" s="286"/>
      <c r="AL252" s="286"/>
      <c r="AM252" s="286"/>
      <c r="AN252" s="286"/>
      <c r="AO252" s="286"/>
      <c r="AP252" s="286"/>
    </row>
    <row r="253" spans="1:42" s="15" customFormat="1" ht="14" x14ac:dyDescent="0.3">
      <c r="A253" s="7" t="s">
        <v>941</v>
      </c>
      <c r="C253" s="15" t="s">
        <v>499</v>
      </c>
      <c r="E253" s="15" t="s">
        <v>508</v>
      </c>
      <c r="H253" s="35"/>
      <c r="I253" s="16">
        <f>AVERAGE(I248:I252)</f>
        <v>2.37</v>
      </c>
      <c r="J253" s="16">
        <f>STDEV(I248:I252)/SQRT(COUNT(I248:I252))</f>
        <v>0.3521836642056716</v>
      </c>
      <c r="K253" s="35"/>
      <c r="L253" s="35"/>
      <c r="M253" s="16">
        <f>AVERAGE(M248:M252)</f>
        <v>1.6099999999999999</v>
      </c>
      <c r="N253" s="16">
        <f>STDEV(M248:M252)/SQRT(COUNT(M248:M252))</f>
        <v>7.999999999999996E-2</v>
      </c>
      <c r="O253" s="35"/>
      <c r="Q253" s="41"/>
      <c r="V253" s="46"/>
    </row>
    <row r="254" spans="1:42" s="49" customFormat="1" ht="14" x14ac:dyDescent="0.3">
      <c r="B254" s="2" t="s">
        <v>460</v>
      </c>
      <c r="C254" s="2" t="s">
        <v>459</v>
      </c>
      <c r="D254" s="2" t="s">
        <v>807</v>
      </c>
      <c r="E254" s="2" t="s">
        <v>1145</v>
      </c>
      <c r="G254" s="49" t="s">
        <v>1147</v>
      </c>
      <c r="H254" s="50"/>
      <c r="I254" s="48"/>
      <c r="J254" s="48"/>
      <c r="K254" s="50"/>
      <c r="L254" s="50"/>
      <c r="M254" s="48">
        <v>1.51</v>
      </c>
      <c r="N254" s="48"/>
      <c r="O254" s="50"/>
      <c r="Q254" s="51"/>
      <c r="R254" s="3" t="s">
        <v>66</v>
      </c>
      <c r="S254" s="3" t="s">
        <v>65</v>
      </c>
      <c r="U254" s="49" t="s">
        <v>37</v>
      </c>
      <c r="V254" s="52" t="s">
        <v>1144</v>
      </c>
    </row>
    <row r="255" spans="1:42" s="2" customFormat="1" ht="14" x14ac:dyDescent="0.3">
      <c r="B255" s="2" t="s">
        <v>460</v>
      </c>
      <c r="C255" s="2" t="s">
        <v>459</v>
      </c>
      <c r="D255" s="2" t="s">
        <v>458</v>
      </c>
      <c r="E255" s="2" t="s">
        <v>359</v>
      </c>
      <c r="F255" s="2" t="s">
        <v>59</v>
      </c>
      <c r="G255" s="2" t="s">
        <v>1024</v>
      </c>
      <c r="H255" s="34" t="s">
        <v>457</v>
      </c>
      <c r="I255" s="5">
        <v>1.85</v>
      </c>
      <c r="J255" s="5">
        <v>0.73</v>
      </c>
      <c r="K255" s="34">
        <v>34</v>
      </c>
      <c r="L255" s="34"/>
      <c r="M255" s="5"/>
      <c r="N255" s="5"/>
      <c r="O255" s="34"/>
      <c r="P255" s="2" t="s">
        <v>88</v>
      </c>
      <c r="Q255" s="39" t="s">
        <v>40</v>
      </c>
      <c r="R255" s="2" t="s">
        <v>39</v>
      </c>
      <c r="S255" s="2" t="s">
        <v>273</v>
      </c>
      <c r="U255" s="2" t="s">
        <v>37</v>
      </c>
      <c r="V255" s="44" t="s">
        <v>272</v>
      </c>
    </row>
    <row r="256" spans="1:42" s="7" customFormat="1" ht="14" x14ac:dyDescent="0.3">
      <c r="A256" s="7" t="s">
        <v>1146</v>
      </c>
      <c r="C256" s="7" t="s">
        <v>459</v>
      </c>
      <c r="E256" s="7" t="s">
        <v>1145</v>
      </c>
      <c r="H256" s="33"/>
      <c r="I256" s="8">
        <f>AVERAGE(I254:I255)</f>
        <v>1.85</v>
      </c>
      <c r="J256" s="8">
        <f>J255/SQRT(K255)</f>
        <v>0.12519396715403144</v>
      </c>
      <c r="K256" s="33"/>
      <c r="L256" s="33"/>
      <c r="M256" s="8">
        <f>AVERAGE(M254:M255)</f>
        <v>1.51</v>
      </c>
      <c r="N256" s="8">
        <f>IF(COUNT(M254:M255)=1,SUM(N254:N255),STDEV(M254:M255))</f>
        <v>0</v>
      </c>
      <c r="O256" s="33"/>
      <c r="Q256" s="38"/>
      <c r="V256" s="13"/>
    </row>
    <row r="257" spans="1:42" s="2" customFormat="1" ht="14" x14ac:dyDescent="0.3">
      <c r="B257" s="3" t="s">
        <v>653</v>
      </c>
      <c r="C257" s="3" t="s">
        <v>652</v>
      </c>
      <c r="D257" s="3" t="s">
        <v>666</v>
      </c>
      <c r="E257" s="3" t="s">
        <v>359</v>
      </c>
      <c r="F257" s="3" t="s">
        <v>31</v>
      </c>
      <c r="G257" s="3"/>
      <c r="H257" s="32"/>
      <c r="I257" s="4">
        <v>3.05</v>
      </c>
      <c r="J257" s="4"/>
      <c r="K257" s="32"/>
      <c r="L257" s="32"/>
      <c r="M257" s="4"/>
      <c r="N257" s="4"/>
      <c r="O257" s="32"/>
      <c r="P257" s="3"/>
      <c r="Q257" s="26" t="s">
        <v>40</v>
      </c>
      <c r="R257" s="3" t="s">
        <v>4</v>
      </c>
      <c r="S257" s="3"/>
      <c r="T257" s="3"/>
      <c r="U257" s="3" t="s">
        <v>1215</v>
      </c>
      <c r="V257" s="44" t="s">
        <v>665</v>
      </c>
      <c r="W257" s="3"/>
    </row>
    <row r="258" spans="1:42" s="2" customFormat="1" ht="14" x14ac:dyDescent="0.3">
      <c r="B258" s="2" t="s">
        <v>653</v>
      </c>
      <c r="C258" s="2" t="s">
        <v>652</v>
      </c>
      <c r="D258" s="2" t="s">
        <v>408</v>
      </c>
      <c r="E258" s="2" t="s">
        <v>359</v>
      </c>
      <c r="F258" s="2" t="s">
        <v>31</v>
      </c>
      <c r="G258" s="3" t="s">
        <v>1074</v>
      </c>
      <c r="H258" s="32"/>
      <c r="I258" s="4">
        <v>3.1826455026455029</v>
      </c>
      <c r="J258" s="4">
        <v>9.2698412698412697E-2</v>
      </c>
      <c r="K258" s="32">
        <v>15</v>
      </c>
      <c r="L258" s="32"/>
      <c r="M258" s="4"/>
      <c r="N258" s="4"/>
      <c r="O258" s="32"/>
      <c r="P258" s="3"/>
      <c r="Q258" s="26" t="s">
        <v>1073</v>
      </c>
      <c r="R258" s="3" t="s">
        <v>39</v>
      </c>
      <c r="S258" s="3" t="s">
        <v>324</v>
      </c>
      <c r="T258" s="3"/>
      <c r="U258" s="3" t="s">
        <v>37</v>
      </c>
      <c r="V258" s="10" t="s">
        <v>664</v>
      </c>
      <c r="W258" s="3"/>
    </row>
    <row r="259" spans="1:42" s="2" customFormat="1" ht="14" x14ac:dyDescent="0.3">
      <c r="B259" s="2" t="s">
        <v>653</v>
      </c>
      <c r="C259" s="2" t="s">
        <v>652</v>
      </c>
      <c r="D259" s="2" t="s">
        <v>44</v>
      </c>
      <c r="E259" s="2" t="s">
        <v>1570</v>
      </c>
      <c r="H259" s="34"/>
      <c r="I259" s="5"/>
      <c r="J259" s="5"/>
      <c r="K259" s="34"/>
      <c r="L259" s="34"/>
      <c r="M259" s="5">
        <v>1.1399999999999999</v>
      </c>
      <c r="N259" s="5"/>
      <c r="O259" s="34"/>
      <c r="P259" s="251" t="s">
        <v>1484</v>
      </c>
      <c r="Q259" s="252" t="s">
        <v>87</v>
      </c>
      <c r="R259" s="252" t="s">
        <v>502</v>
      </c>
      <c r="S259" s="251" t="s">
        <v>1485</v>
      </c>
      <c r="T259" s="251" t="s">
        <v>1486</v>
      </c>
      <c r="U259" s="251" t="s">
        <v>13</v>
      </c>
      <c r="V259" s="286" t="s">
        <v>1487</v>
      </c>
      <c r="W259" s="286"/>
      <c r="X259" s="286"/>
      <c r="Y259" s="286"/>
      <c r="Z259" s="286"/>
      <c r="AA259" s="286"/>
      <c r="AB259" s="286"/>
      <c r="AC259" s="286"/>
      <c r="AD259" s="286"/>
      <c r="AE259" s="286"/>
      <c r="AF259" s="286"/>
      <c r="AG259" s="286"/>
      <c r="AH259" s="286"/>
      <c r="AI259" s="286"/>
      <c r="AJ259" s="286"/>
      <c r="AK259" s="286"/>
      <c r="AL259" s="286"/>
      <c r="AM259" s="286"/>
      <c r="AN259" s="286"/>
      <c r="AO259" s="286"/>
      <c r="AP259" s="286"/>
    </row>
    <row r="260" spans="1:42" s="7" customFormat="1" ht="14" x14ac:dyDescent="0.3">
      <c r="A260" s="7" t="s">
        <v>1070</v>
      </c>
      <c r="C260" s="7" t="s">
        <v>652</v>
      </c>
      <c r="E260" s="7" t="s">
        <v>359</v>
      </c>
      <c r="H260" s="33"/>
      <c r="I260" s="8">
        <f>AVERAGE(I257:I258)</f>
        <v>3.1163227513227514</v>
      </c>
      <c r="J260" s="8">
        <f>STDEV(I257:I259)/SQRT(COUNT(I257:I259))</f>
        <v>6.6322751322751561E-2</v>
      </c>
      <c r="K260" s="33"/>
      <c r="L260" s="33"/>
      <c r="M260" s="8">
        <f>AVERAGE(M257:M259)</f>
        <v>1.1399999999999999</v>
      </c>
      <c r="N260" s="8">
        <f>IF(COUNT(M257:M259)=1,SUM(N257:N259),STDEV(M257:M259))</f>
        <v>0</v>
      </c>
      <c r="O260" s="33"/>
      <c r="Q260" s="38"/>
      <c r="V260" s="13"/>
    </row>
    <row r="261" spans="1:42" s="2" customFormat="1" ht="14" x14ac:dyDescent="0.3">
      <c r="B261" s="2" t="s">
        <v>653</v>
      </c>
      <c r="C261" s="2" t="s">
        <v>652</v>
      </c>
      <c r="D261" s="2" t="s">
        <v>90</v>
      </c>
      <c r="E261" s="2" t="s">
        <v>20</v>
      </c>
      <c r="F261" s="2" t="s">
        <v>397</v>
      </c>
      <c r="G261" s="2" t="s">
        <v>1036</v>
      </c>
      <c r="H261" s="34"/>
      <c r="I261" s="5">
        <f>2.17/2</f>
        <v>1.085</v>
      </c>
      <c r="J261" s="5">
        <f>3.19/2</f>
        <v>1.595</v>
      </c>
      <c r="K261" s="34">
        <v>17</v>
      </c>
      <c r="L261" s="34"/>
      <c r="M261" s="5"/>
      <c r="N261" s="5"/>
      <c r="O261" s="34"/>
      <c r="P261" s="2" t="s">
        <v>88</v>
      </c>
      <c r="Q261" s="39" t="s">
        <v>77</v>
      </c>
      <c r="R261" s="2" t="s">
        <v>66</v>
      </c>
      <c r="S261" s="2" t="s">
        <v>396</v>
      </c>
      <c r="U261" s="2" t="s">
        <v>37</v>
      </c>
      <c r="V261" s="44" t="s">
        <v>395</v>
      </c>
    </row>
    <row r="262" spans="1:42" s="2" customFormat="1" ht="14" x14ac:dyDescent="0.3">
      <c r="B262" s="2" t="s">
        <v>653</v>
      </c>
      <c r="C262" s="2" t="s">
        <v>652</v>
      </c>
      <c r="D262" s="2" t="s">
        <v>662</v>
      </c>
      <c r="E262" s="2" t="s">
        <v>20</v>
      </c>
      <c r="F262" s="2" t="s">
        <v>657</v>
      </c>
      <c r="H262" s="34" t="s">
        <v>663</v>
      </c>
      <c r="I262" s="5">
        <v>1.72</v>
      </c>
      <c r="J262" s="5">
        <v>0.36</v>
      </c>
      <c r="K262" s="34">
        <v>89</v>
      </c>
      <c r="L262" s="34"/>
      <c r="M262" s="5"/>
      <c r="N262" s="5"/>
      <c r="O262" s="34"/>
      <c r="P262" s="2" t="s">
        <v>88</v>
      </c>
      <c r="Q262" s="39" t="s">
        <v>40</v>
      </c>
      <c r="R262" s="2" t="s">
        <v>39</v>
      </c>
      <c r="S262" s="2" t="s">
        <v>273</v>
      </c>
      <c r="U262" s="2" t="s">
        <v>37</v>
      </c>
      <c r="V262" s="44" t="s">
        <v>272</v>
      </c>
    </row>
    <row r="263" spans="1:42" s="2" customFormat="1" ht="14" x14ac:dyDescent="0.3">
      <c r="B263" s="2" t="s">
        <v>653</v>
      </c>
      <c r="C263" s="2" t="s">
        <v>652</v>
      </c>
      <c r="D263" s="2" t="s">
        <v>662</v>
      </c>
      <c r="E263" s="2" t="s">
        <v>20</v>
      </c>
      <c r="F263" s="2" t="s">
        <v>657</v>
      </c>
      <c r="H263" s="34" t="s">
        <v>189</v>
      </c>
      <c r="I263" s="5">
        <v>1.53</v>
      </c>
      <c r="J263" s="5">
        <v>0.21</v>
      </c>
      <c r="K263" s="34">
        <v>7</v>
      </c>
      <c r="L263" s="34"/>
      <c r="M263" s="5"/>
      <c r="N263" s="5"/>
      <c r="O263" s="34"/>
      <c r="P263" s="2" t="s">
        <v>88</v>
      </c>
      <c r="Q263" s="39" t="s">
        <v>40</v>
      </c>
      <c r="R263" s="2" t="s">
        <v>39</v>
      </c>
      <c r="S263" s="2" t="s">
        <v>399</v>
      </c>
      <c r="U263" s="2" t="s">
        <v>37</v>
      </c>
      <c r="V263" s="44" t="s">
        <v>272</v>
      </c>
    </row>
    <row r="264" spans="1:42" s="2" customFormat="1" ht="14" x14ac:dyDescent="0.3">
      <c r="B264" s="2" t="s">
        <v>653</v>
      </c>
      <c r="C264" s="2" t="s">
        <v>652</v>
      </c>
      <c r="D264" s="2" t="s">
        <v>408</v>
      </c>
      <c r="E264" s="2" t="s">
        <v>20</v>
      </c>
      <c r="F264" s="2" t="s">
        <v>657</v>
      </c>
      <c r="H264" s="34" t="s">
        <v>656</v>
      </c>
      <c r="I264" s="5">
        <v>1.1299999999999999</v>
      </c>
      <c r="J264" s="5">
        <v>0.11</v>
      </c>
      <c r="K264" s="34">
        <v>3</v>
      </c>
      <c r="L264" s="34"/>
      <c r="M264" s="5"/>
      <c r="N264" s="5"/>
      <c r="O264" s="34"/>
      <c r="P264" s="2" t="s">
        <v>88</v>
      </c>
      <c r="Q264" s="39" t="s">
        <v>40</v>
      </c>
      <c r="R264" s="2" t="s">
        <v>39</v>
      </c>
      <c r="S264" s="2" t="s">
        <v>399</v>
      </c>
      <c r="U264" s="2" t="s">
        <v>37</v>
      </c>
      <c r="V264" s="44" t="s">
        <v>272</v>
      </c>
    </row>
    <row r="265" spans="1:42" s="2" customFormat="1" ht="14" x14ac:dyDescent="0.3">
      <c r="B265" s="2" t="s">
        <v>653</v>
      </c>
      <c r="C265" s="2" t="s">
        <v>652</v>
      </c>
      <c r="D265" s="2" t="s">
        <v>408</v>
      </c>
      <c r="E265" s="2" t="s">
        <v>20</v>
      </c>
      <c r="F265" s="2" t="s">
        <v>304</v>
      </c>
      <c r="H265" s="34" t="s">
        <v>655</v>
      </c>
      <c r="I265" s="5">
        <v>2.2999999999999998</v>
      </c>
      <c r="J265" s="5"/>
      <c r="K265" s="34">
        <v>3</v>
      </c>
      <c r="L265" s="34"/>
      <c r="M265" s="5"/>
      <c r="N265" s="5"/>
      <c r="O265" s="34"/>
      <c r="P265" s="2" t="s">
        <v>88</v>
      </c>
      <c r="Q265" s="39" t="s">
        <v>40</v>
      </c>
      <c r="R265" s="2" t="s">
        <v>39</v>
      </c>
      <c r="S265" s="2" t="s">
        <v>399</v>
      </c>
      <c r="U265" s="2" t="s">
        <v>37</v>
      </c>
      <c r="V265" s="44" t="s">
        <v>688</v>
      </c>
    </row>
    <row r="266" spans="1:42" s="2" customFormat="1" ht="14" x14ac:dyDescent="0.3">
      <c r="B266" s="2" t="s">
        <v>653</v>
      </c>
      <c r="C266" s="2" t="s">
        <v>652</v>
      </c>
      <c r="D266" s="2" t="s">
        <v>408</v>
      </c>
      <c r="E266" s="2" t="s">
        <v>20</v>
      </c>
      <c r="F266" s="2" t="s">
        <v>42</v>
      </c>
      <c r="H266" s="34"/>
      <c r="I266" s="5">
        <v>1.4</v>
      </c>
      <c r="J266" s="5"/>
      <c r="K266" s="34">
        <v>1</v>
      </c>
      <c r="L266" s="34"/>
      <c r="M266" s="5"/>
      <c r="N266" s="5"/>
      <c r="O266" s="34"/>
      <c r="Q266" s="39" t="s">
        <v>40</v>
      </c>
      <c r="R266" s="2" t="s">
        <v>39</v>
      </c>
      <c r="S266" s="2" t="s">
        <v>38</v>
      </c>
      <c r="U266" s="2" t="s">
        <v>37</v>
      </c>
      <c r="V266" s="44" t="s">
        <v>36</v>
      </c>
    </row>
    <row r="267" spans="1:42" s="2" customFormat="1" ht="14" x14ac:dyDescent="0.3">
      <c r="B267" s="2" t="s">
        <v>653</v>
      </c>
      <c r="C267" s="2" t="s">
        <v>652</v>
      </c>
      <c r="D267" s="2" t="s">
        <v>90</v>
      </c>
      <c r="E267" s="2" t="s">
        <v>80</v>
      </c>
      <c r="F267" s="2" t="s">
        <v>122</v>
      </c>
      <c r="G267" s="2" t="s">
        <v>375</v>
      </c>
      <c r="H267" s="34" t="s">
        <v>654</v>
      </c>
      <c r="I267" s="5">
        <v>3.43</v>
      </c>
      <c r="J267" s="5">
        <v>0.63</v>
      </c>
      <c r="K267" s="34">
        <v>7</v>
      </c>
      <c r="L267" s="34"/>
      <c r="M267" s="5">
        <v>1.56</v>
      </c>
      <c r="N267" s="5">
        <v>0.31</v>
      </c>
      <c r="O267" s="34"/>
      <c r="P267" s="2" t="s">
        <v>120</v>
      </c>
      <c r="Q267" s="39" t="s">
        <v>639</v>
      </c>
      <c r="R267" s="2" t="s">
        <v>15</v>
      </c>
      <c r="S267" s="2" t="s">
        <v>118</v>
      </c>
      <c r="U267" s="2" t="s">
        <v>13</v>
      </c>
      <c r="V267" s="44" t="s">
        <v>117</v>
      </c>
    </row>
    <row r="268" spans="1:42" x14ac:dyDescent="0.35">
      <c r="A268" s="2"/>
      <c r="B268" s="2" t="s">
        <v>653</v>
      </c>
      <c r="C268" s="2" t="s">
        <v>652</v>
      </c>
      <c r="D268" s="2" t="s">
        <v>1773</v>
      </c>
      <c r="E268" s="2" t="s">
        <v>20</v>
      </c>
      <c r="F268" s="2" t="s">
        <v>1763</v>
      </c>
      <c r="G268" s="2" t="s">
        <v>1792</v>
      </c>
      <c r="H268" s="34"/>
      <c r="I268" s="235">
        <v>0.53354378604206709</v>
      </c>
      <c r="J268" s="5">
        <v>0.25434134180602241</v>
      </c>
      <c r="K268" s="34">
        <v>5</v>
      </c>
      <c r="L268" s="34"/>
      <c r="M268" s="5"/>
      <c r="N268" s="5"/>
      <c r="O268" s="34"/>
      <c r="P268" s="2" t="s">
        <v>798</v>
      </c>
      <c r="Q268" s="42" t="s">
        <v>1139</v>
      </c>
      <c r="R268" s="2" t="s">
        <v>1765</v>
      </c>
      <c r="S268" s="2" t="s">
        <v>1766</v>
      </c>
      <c r="T268" s="2"/>
      <c r="U268" s="2" t="s">
        <v>24</v>
      </c>
      <c r="V268" s="44" t="s">
        <v>1767</v>
      </c>
      <c r="W268" s="2"/>
    </row>
    <row r="269" spans="1:42" x14ac:dyDescent="0.35">
      <c r="A269" s="2"/>
      <c r="B269" s="2" t="s">
        <v>653</v>
      </c>
      <c r="C269" s="2" t="s">
        <v>652</v>
      </c>
      <c r="D269" s="2" t="s">
        <v>1773</v>
      </c>
      <c r="E269" s="2" t="s">
        <v>20</v>
      </c>
      <c r="F269" s="2" t="s">
        <v>1763</v>
      </c>
      <c r="G269" s="2" t="s">
        <v>1701</v>
      </c>
      <c r="H269" s="34" t="s">
        <v>1774</v>
      </c>
      <c r="I269" s="5">
        <v>1.3984476789742109</v>
      </c>
      <c r="J269" s="5">
        <v>0.39476219618864128</v>
      </c>
      <c r="K269" s="34">
        <v>5</v>
      </c>
      <c r="L269" s="34"/>
      <c r="M269" s="5"/>
      <c r="N269" s="5"/>
      <c r="O269" s="34"/>
      <c r="P269" s="2" t="s">
        <v>798</v>
      </c>
      <c r="Q269" s="42" t="s">
        <v>1139</v>
      </c>
      <c r="R269" s="2" t="s">
        <v>1765</v>
      </c>
      <c r="S269" s="2" t="s">
        <v>1766</v>
      </c>
      <c r="T269" s="2"/>
      <c r="U269" s="2" t="s">
        <v>24</v>
      </c>
      <c r="V269" s="44" t="s">
        <v>1767</v>
      </c>
      <c r="W269" s="2"/>
    </row>
    <row r="270" spans="1:42" s="2" customFormat="1" ht="14" x14ac:dyDescent="0.3">
      <c r="B270" s="2" t="s">
        <v>653</v>
      </c>
      <c r="C270" s="2" t="s">
        <v>652</v>
      </c>
      <c r="D270" s="2" t="s">
        <v>408</v>
      </c>
      <c r="E270" s="2" t="s">
        <v>20</v>
      </c>
      <c r="F270" s="2" t="s">
        <v>1483</v>
      </c>
      <c r="H270" s="34"/>
      <c r="I270" s="5"/>
      <c r="J270" s="5"/>
      <c r="K270" s="34"/>
      <c r="L270" s="34" t="s">
        <v>1573</v>
      </c>
      <c r="M270" s="5">
        <v>1.02</v>
      </c>
      <c r="N270" s="5"/>
      <c r="O270" s="34"/>
      <c r="P270" s="251" t="s">
        <v>1484</v>
      </c>
      <c r="Q270" s="252" t="s">
        <v>87</v>
      </c>
      <c r="R270" s="252" t="s">
        <v>502</v>
      </c>
      <c r="S270" s="251" t="s">
        <v>1485</v>
      </c>
      <c r="T270" s="251" t="s">
        <v>1486</v>
      </c>
      <c r="U270" s="251" t="s">
        <v>13</v>
      </c>
      <c r="V270" s="286" t="s">
        <v>1487</v>
      </c>
      <c r="W270" s="286"/>
      <c r="X270" s="286"/>
      <c r="Y270" s="286"/>
      <c r="Z270" s="286"/>
      <c r="AA270" s="286"/>
      <c r="AB270" s="286"/>
      <c r="AC270" s="286"/>
      <c r="AD270" s="286"/>
      <c r="AE270" s="286"/>
      <c r="AF270" s="286"/>
      <c r="AG270" s="286"/>
      <c r="AH270" s="286"/>
      <c r="AI270" s="286"/>
      <c r="AJ270" s="286"/>
      <c r="AK270" s="286"/>
      <c r="AL270" s="286"/>
      <c r="AM270" s="286"/>
      <c r="AN270" s="286"/>
      <c r="AO270" s="286"/>
      <c r="AP270" s="286"/>
    </row>
    <row r="271" spans="1:42" s="2" customFormat="1" ht="14" x14ac:dyDescent="0.3">
      <c r="B271" s="2" t="s">
        <v>653</v>
      </c>
      <c r="C271" s="2" t="s">
        <v>652</v>
      </c>
      <c r="D271" s="2" t="s">
        <v>1571</v>
      </c>
      <c r="E271" s="2" t="s">
        <v>20</v>
      </c>
      <c r="F271" s="2" t="s">
        <v>1483</v>
      </c>
      <c r="H271" s="34"/>
      <c r="I271" s="5"/>
      <c r="J271" s="5"/>
      <c r="K271" s="34"/>
      <c r="L271" s="34" t="s">
        <v>1572</v>
      </c>
      <c r="M271" s="5">
        <v>1.04</v>
      </c>
      <c r="N271" s="5"/>
      <c r="O271" s="34"/>
      <c r="P271" s="251" t="s">
        <v>1484</v>
      </c>
      <c r="Q271" s="252" t="s">
        <v>87</v>
      </c>
      <c r="R271" s="252" t="s">
        <v>502</v>
      </c>
      <c r="S271" s="251" t="s">
        <v>1485</v>
      </c>
      <c r="T271" s="251" t="s">
        <v>1486</v>
      </c>
      <c r="U271" s="251" t="s">
        <v>13</v>
      </c>
      <c r="V271" s="286" t="s">
        <v>1487</v>
      </c>
      <c r="W271" s="286"/>
      <c r="X271" s="286"/>
      <c r="Y271" s="286"/>
      <c r="Z271" s="286"/>
      <c r="AA271" s="286"/>
      <c r="AB271" s="286"/>
      <c r="AC271" s="286"/>
      <c r="AD271" s="286"/>
      <c r="AE271" s="286"/>
      <c r="AF271" s="286"/>
      <c r="AG271" s="286"/>
      <c r="AH271" s="286"/>
      <c r="AI271" s="286"/>
      <c r="AJ271" s="286"/>
      <c r="AK271" s="286"/>
      <c r="AL271" s="286"/>
      <c r="AM271" s="286"/>
      <c r="AN271" s="286"/>
      <c r="AO271" s="286"/>
      <c r="AP271" s="286"/>
    </row>
    <row r="272" spans="1:42" s="7" customFormat="1" ht="14" x14ac:dyDescent="0.3">
      <c r="A272" s="7" t="s">
        <v>946</v>
      </c>
      <c r="C272" s="7" t="s">
        <v>652</v>
      </c>
      <c r="E272" s="7" t="s">
        <v>20</v>
      </c>
      <c r="H272" s="33"/>
      <c r="I272" s="8">
        <f>AVERAGE(I261:I267,I269:I271)</f>
        <v>1.7491809598717762</v>
      </c>
      <c r="J272" s="8">
        <f>STDEV(I261:I267,I269:I271)/SQRT(COUNT(I261:I267,I269:I271))</f>
        <v>0.27538637363208079</v>
      </c>
      <c r="K272" s="33"/>
      <c r="L272" s="33"/>
      <c r="M272" s="8">
        <f>AVERAGE(M261:M271)</f>
        <v>1.2066666666666668</v>
      </c>
      <c r="N272" s="8">
        <f>STDEV(M261:M271)/SQRT(COUNT(M261:M271))</f>
        <v>0.17676098111417127</v>
      </c>
      <c r="O272" s="33"/>
      <c r="Q272" s="38"/>
      <c r="V272" s="13"/>
    </row>
    <row r="273" spans="1:42" s="2" customFormat="1" ht="14" x14ac:dyDescent="0.3">
      <c r="B273" s="3" t="s">
        <v>653</v>
      </c>
      <c r="C273" s="3" t="s">
        <v>652</v>
      </c>
      <c r="D273" s="3" t="s">
        <v>661</v>
      </c>
      <c r="E273" s="3" t="s">
        <v>609</v>
      </c>
      <c r="F273" s="3" t="s">
        <v>329</v>
      </c>
      <c r="G273" s="3"/>
      <c r="H273" s="32" t="s">
        <v>660</v>
      </c>
      <c r="I273" s="4">
        <v>2.88</v>
      </c>
      <c r="J273" s="4">
        <v>0.3</v>
      </c>
      <c r="K273" s="32">
        <v>26</v>
      </c>
      <c r="L273" s="32" t="s">
        <v>341</v>
      </c>
      <c r="M273" s="5">
        <v>0.94</v>
      </c>
      <c r="N273" s="4">
        <v>0.04</v>
      </c>
      <c r="O273" s="32">
        <v>16</v>
      </c>
      <c r="P273" s="3" t="s">
        <v>604</v>
      </c>
      <c r="Q273" s="26" t="s">
        <v>1079</v>
      </c>
      <c r="R273" s="3" t="s">
        <v>4</v>
      </c>
      <c r="S273" s="3" t="s">
        <v>603</v>
      </c>
      <c r="T273" s="3" t="s">
        <v>100</v>
      </c>
      <c r="U273" s="3" t="s">
        <v>1215</v>
      </c>
      <c r="V273" s="29" t="s">
        <v>602</v>
      </c>
      <c r="W273" s="3"/>
    </row>
    <row r="274" spans="1:42" s="2" customFormat="1" ht="14" x14ac:dyDescent="0.3">
      <c r="B274" s="3" t="s">
        <v>653</v>
      </c>
      <c r="C274" s="3" t="s">
        <v>652</v>
      </c>
      <c r="D274" s="3" t="s">
        <v>408</v>
      </c>
      <c r="E274" s="3" t="s">
        <v>508</v>
      </c>
      <c r="F274" s="3" t="s">
        <v>19</v>
      </c>
      <c r="G274" s="3" t="s">
        <v>1081</v>
      </c>
      <c r="H274" s="32"/>
      <c r="I274" s="4">
        <v>2.92</v>
      </c>
      <c r="J274" s="4"/>
      <c r="K274" s="32">
        <v>5</v>
      </c>
      <c r="L274" s="32"/>
      <c r="M274" s="4"/>
      <c r="N274" s="4"/>
      <c r="O274" s="32"/>
      <c r="P274" s="3"/>
      <c r="Q274" s="26" t="s">
        <v>40</v>
      </c>
      <c r="R274" s="3" t="s">
        <v>39</v>
      </c>
      <c r="S274" s="3" t="s">
        <v>324</v>
      </c>
      <c r="T274" s="3"/>
      <c r="U274" s="3" t="s">
        <v>37</v>
      </c>
      <c r="V274" s="10" t="s">
        <v>374</v>
      </c>
      <c r="W274" s="3"/>
    </row>
    <row r="275" spans="1:42" s="2" customFormat="1" ht="14" x14ac:dyDescent="0.3">
      <c r="B275" s="3" t="s">
        <v>653</v>
      </c>
      <c r="C275" s="3" t="s">
        <v>652</v>
      </c>
      <c r="D275" s="3" t="s">
        <v>408</v>
      </c>
      <c r="E275" s="3" t="s">
        <v>508</v>
      </c>
      <c r="F275" s="3" t="s">
        <v>19</v>
      </c>
      <c r="G275" s="3" t="s">
        <v>1081</v>
      </c>
      <c r="H275" s="32"/>
      <c r="I275" s="4">
        <v>1.64</v>
      </c>
      <c r="J275" s="4"/>
      <c r="K275" s="32">
        <v>8</v>
      </c>
      <c r="L275" s="32"/>
      <c r="M275" s="4"/>
      <c r="N275" s="4"/>
      <c r="O275" s="32"/>
      <c r="P275" s="3"/>
      <c r="Q275" s="26" t="s">
        <v>27</v>
      </c>
      <c r="R275" s="3" t="s">
        <v>39</v>
      </c>
      <c r="S275" s="3" t="s">
        <v>1080</v>
      </c>
      <c r="T275" s="3"/>
      <c r="U275" s="3" t="s">
        <v>37</v>
      </c>
      <c r="V275" s="10" t="s">
        <v>374</v>
      </c>
      <c r="W275" s="3"/>
    </row>
    <row r="276" spans="1:42" s="2" customFormat="1" ht="14" x14ac:dyDescent="0.3">
      <c r="B276" s="3" t="s">
        <v>653</v>
      </c>
      <c r="C276" s="3" t="s">
        <v>652</v>
      </c>
      <c r="D276" s="3" t="s">
        <v>408</v>
      </c>
      <c r="E276" s="3" t="s">
        <v>508</v>
      </c>
      <c r="F276" s="3" t="s">
        <v>409</v>
      </c>
      <c r="G276" s="3" t="s">
        <v>1024</v>
      </c>
      <c r="H276" s="32"/>
      <c r="I276" s="4">
        <v>4.2</v>
      </c>
      <c r="J276" s="4">
        <v>1.3</v>
      </c>
      <c r="K276" s="32">
        <v>6</v>
      </c>
      <c r="L276" s="32"/>
      <c r="M276" s="4"/>
      <c r="N276" s="4"/>
      <c r="O276" s="32"/>
      <c r="P276" s="3"/>
      <c r="Q276" s="26" t="s">
        <v>175</v>
      </c>
      <c r="R276" s="3" t="s">
        <v>39</v>
      </c>
      <c r="S276" s="3" t="s">
        <v>324</v>
      </c>
      <c r="T276" s="3"/>
      <c r="U276" s="3" t="s">
        <v>37</v>
      </c>
      <c r="V276" s="44" t="s">
        <v>1125</v>
      </c>
      <c r="W276" s="3"/>
    </row>
    <row r="277" spans="1:42" s="2" customFormat="1" ht="14" x14ac:dyDescent="0.3">
      <c r="B277" s="3" t="s">
        <v>653</v>
      </c>
      <c r="C277" s="3" t="s">
        <v>652</v>
      </c>
      <c r="D277" s="3" t="s">
        <v>659</v>
      </c>
      <c r="E277" s="3" t="s">
        <v>508</v>
      </c>
      <c r="F277" s="3" t="s">
        <v>31</v>
      </c>
      <c r="G277" s="3" t="s">
        <v>1054</v>
      </c>
      <c r="H277" s="32"/>
      <c r="I277" s="4">
        <f>0.99*1.2</f>
        <v>1.1879999999999999</v>
      </c>
      <c r="J277" s="4">
        <f>0.46*1.2</f>
        <v>0.55200000000000005</v>
      </c>
      <c r="K277" s="32"/>
      <c r="L277" s="32"/>
      <c r="M277" s="4"/>
      <c r="N277" s="4"/>
      <c r="O277" s="32"/>
      <c r="P277" s="3"/>
      <c r="Q277" s="26" t="s">
        <v>40</v>
      </c>
      <c r="R277" s="3" t="s">
        <v>370</v>
      </c>
      <c r="S277" s="3" t="s">
        <v>632</v>
      </c>
      <c r="T277" s="3"/>
      <c r="U277" s="3" t="s">
        <v>85</v>
      </c>
      <c r="V277" s="10" t="s">
        <v>631</v>
      </c>
      <c r="W277" s="3"/>
    </row>
    <row r="278" spans="1:42" s="2" customFormat="1" ht="14" x14ac:dyDescent="0.3">
      <c r="B278" s="3" t="s">
        <v>653</v>
      </c>
      <c r="C278" s="3" t="s">
        <v>652</v>
      </c>
      <c r="D278" s="3" t="s">
        <v>90</v>
      </c>
      <c r="E278" s="3" t="s">
        <v>658</v>
      </c>
      <c r="F278" s="3" t="s">
        <v>409</v>
      </c>
      <c r="G278" s="3"/>
      <c r="H278" s="32"/>
      <c r="I278" s="4">
        <v>4.03</v>
      </c>
      <c r="J278" s="4">
        <v>1.33</v>
      </c>
      <c r="K278" s="32">
        <v>12</v>
      </c>
      <c r="L278" s="32"/>
      <c r="M278" s="4"/>
      <c r="N278" s="4"/>
      <c r="O278" s="32"/>
      <c r="P278" s="3" t="s">
        <v>1142</v>
      </c>
      <c r="Q278" s="26" t="s">
        <v>1079</v>
      </c>
      <c r="R278" s="3" t="s">
        <v>4</v>
      </c>
      <c r="S278" s="3" t="s">
        <v>509</v>
      </c>
      <c r="T278" s="3"/>
      <c r="U278" s="3" t="s">
        <v>191</v>
      </c>
      <c r="V278" s="44" t="s">
        <v>1125</v>
      </c>
      <c r="W278" s="3"/>
    </row>
    <row r="279" spans="1:42" s="2" customFormat="1" ht="14" x14ac:dyDescent="0.3">
      <c r="B279" s="3" t="s">
        <v>653</v>
      </c>
      <c r="C279" s="3" t="s">
        <v>652</v>
      </c>
      <c r="D279" s="3" t="s">
        <v>90</v>
      </c>
      <c r="E279" s="3" t="s">
        <v>658</v>
      </c>
      <c r="F279" s="3" t="s">
        <v>409</v>
      </c>
      <c r="G279" s="3"/>
      <c r="H279" s="32"/>
      <c r="I279" s="4">
        <v>5.18</v>
      </c>
      <c r="J279" s="4">
        <v>1.47</v>
      </c>
      <c r="K279" s="32">
        <v>25</v>
      </c>
      <c r="L279" s="32"/>
      <c r="M279" s="4"/>
      <c r="N279" s="4"/>
      <c r="O279" s="32"/>
      <c r="P279" s="3" t="s">
        <v>1142</v>
      </c>
      <c r="Q279" s="26" t="s">
        <v>1079</v>
      </c>
      <c r="R279" s="3" t="s">
        <v>4</v>
      </c>
      <c r="S279" s="3" t="s">
        <v>507</v>
      </c>
      <c r="T279" s="3"/>
      <c r="U279" s="3" t="s">
        <v>191</v>
      </c>
      <c r="V279" s="44" t="s">
        <v>1125</v>
      </c>
      <c r="W279" s="3"/>
    </row>
    <row r="280" spans="1:42" s="7" customFormat="1" ht="14" x14ac:dyDescent="0.3">
      <c r="A280" s="7" t="s">
        <v>1815</v>
      </c>
      <c r="C280" s="7" t="s">
        <v>652</v>
      </c>
      <c r="E280" s="7" t="s">
        <v>658</v>
      </c>
      <c r="H280" s="33"/>
      <c r="I280" s="8">
        <f>AVERAGE(I273:I279)</f>
        <v>3.1482857142857141</v>
      </c>
      <c r="J280" s="8">
        <f>STDEV(I273:I279)/SQRT(COUNT(I273:I279))</f>
        <v>0.5401305712636576</v>
      </c>
      <c r="K280" s="33"/>
      <c r="L280" s="33"/>
      <c r="M280" s="8">
        <f>AVERAGE(M273:M279)</f>
        <v>0.94</v>
      </c>
      <c r="N280" s="8">
        <f>IF(COUNT(M273:M279)=1,SUM(N273:N279),STDEV(M273:M279))</f>
        <v>0.04</v>
      </c>
      <c r="O280" s="33"/>
      <c r="Q280" s="38"/>
      <c r="V280" s="13"/>
    </row>
    <row r="281" spans="1:42" s="2" customFormat="1" ht="14" x14ac:dyDescent="0.3">
      <c r="B281" s="2" t="s">
        <v>653</v>
      </c>
      <c r="C281" s="2" t="s">
        <v>652</v>
      </c>
      <c r="D281" s="2" t="s">
        <v>1574</v>
      </c>
      <c r="E281" s="2" t="s">
        <v>82</v>
      </c>
      <c r="F281" s="2" t="s">
        <v>1483</v>
      </c>
      <c r="H281" s="34"/>
      <c r="I281" s="5"/>
      <c r="J281" s="5"/>
      <c r="K281" s="34"/>
      <c r="L281" s="34" t="s">
        <v>1576</v>
      </c>
      <c r="M281" s="5">
        <v>0.85136055682666267</v>
      </c>
      <c r="N281" s="5"/>
      <c r="O281" s="34"/>
      <c r="P281" s="251" t="s">
        <v>1484</v>
      </c>
      <c r="Q281" s="252" t="s">
        <v>87</v>
      </c>
      <c r="R281" s="252" t="s">
        <v>502</v>
      </c>
      <c r="S281" s="251" t="s">
        <v>1485</v>
      </c>
      <c r="T281" s="251" t="s">
        <v>1486</v>
      </c>
      <c r="U281" s="251" t="s">
        <v>13</v>
      </c>
      <c r="V281" s="286" t="s">
        <v>1487</v>
      </c>
      <c r="W281" s="286"/>
      <c r="X281" s="286"/>
      <c r="Y281" s="286"/>
      <c r="Z281" s="286"/>
      <c r="AA281" s="286"/>
      <c r="AB281" s="286"/>
      <c r="AC281" s="286"/>
      <c r="AD281" s="286"/>
      <c r="AE281" s="286"/>
      <c r="AF281" s="286"/>
      <c r="AG281" s="286"/>
      <c r="AH281" s="286"/>
      <c r="AI281" s="286"/>
      <c r="AJ281" s="286"/>
      <c r="AK281" s="286"/>
      <c r="AL281" s="286"/>
      <c r="AM281" s="286"/>
      <c r="AN281" s="286"/>
      <c r="AO281" s="286"/>
      <c r="AP281" s="286"/>
    </row>
    <row r="282" spans="1:42" s="2" customFormat="1" ht="14" x14ac:dyDescent="0.3">
      <c r="B282" s="2" t="s">
        <v>653</v>
      </c>
      <c r="C282" s="2" t="s">
        <v>652</v>
      </c>
      <c r="D282" s="2" t="s">
        <v>1575</v>
      </c>
      <c r="E282" s="2" t="s">
        <v>82</v>
      </c>
      <c r="F282" s="2" t="s">
        <v>1483</v>
      </c>
      <c r="H282" s="34"/>
      <c r="I282" s="5"/>
      <c r="J282" s="5"/>
      <c r="K282" s="34"/>
      <c r="L282" s="34"/>
      <c r="M282" s="5">
        <v>0.77340913700000002</v>
      </c>
      <c r="N282" s="5"/>
      <c r="O282" s="34"/>
      <c r="P282" s="251" t="s">
        <v>1484</v>
      </c>
      <c r="Q282" s="252" t="s">
        <v>87</v>
      </c>
      <c r="R282" s="252" t="s">
        <v>502</v>
      </c>
      <c r="S282" s="251" t="s">
        <v>1485</v>
      </c>
      <c r="T282" s="251" t="s">
        <v>1486</v>
      </c>
      <c r="U282" s="251" t="s">
        <v>13</v>
      </c>
      <c r="V282" s="286" t="s">
        <v>1487</v>
      </c>
      <c r="W282" s="286"/>
      <c r="X282" s="286"/>
      <c r="Y282" s="286"/>
      <c r="Z282" s="286"/>
      <c r="AA282" s="286"/>
      <c r="AB282" s="286"/>
      <c r="AC282" s="286"/>
      <c r="AD282" s="286"/>
      <c r="AE282" s="286"/>
      <c r="AF282" s="286"/>
      <c r="AG282" s="286"/>
      <c r="AH282" s="286"/>
      <c r="AI282" s="286"/>
      <c r="AJ282" s="286"/>
      <c r="AK282" s="286"/>
      <c r="AL282" s="286"/>
      <c r="AM282" s="286"/>
      <c r="AN282" s="286"/>
      <c r="AO282" s="286"/>
      <c r="AP282" s="286"/>
    </row>
    <row r="283" spans="1:42" s="2" customFormat="1" ht="14" x14ac:dyDescent="0.3">
      <c r="B283" s="3" t="s">
        <v>653</v>
      </c>
      <c r="C283" s="3" t="s">
        <v>652</v>
      </c>
      <c r="D283" s="3" t="s">
        <v>90</v>
      </c>
      <c r="E283" s="3" t="s">
        <v>80</v>
      </c>
      <c r="F283" s="3" t="s">
        <v>234</v>
      </c>
      <c r="G283" s="3" t="s">
        <v>1041</v>
      </c>
      <c r="H283" s="32"/>
      <c r="I283" s="4">
        <v>0.94899999999999995</v>
      </c>
      <c r="J283" s="4">
        <v>2.5999999999999999E-2</v>
      </c>
      <c r="K283" s="32">
        <v>6</v>
      </c>
      <c r="L283" s="32"/>
      <c r="M283" s="4"/>
      <c r="N283" s="4"/>
      <c r="O283" s="32"/>
      <c r="P283" s="3" t="s">
        <v>74</v>
      </c>
      <c r="Q283" s="26" t="s">
        <v>233</v>
      </c>
      <c r="R283" s="3" t="s">
        <v>112</v>
      </c>
      <c r="S283" s="3" t="s">
        <v>541</v>
      </c>
      <c r="T283" s="3" t="s">
        <v>231</v>
      </c>
      <c r="U283" s="3" t="s">
        <v>13</v>
      </c>
      <c r="V283" s="10" t="s">
        <v>230</v>
      </c>
      <c r="W283" s="3"/>
    </row>
    <row r="284" spans="1:42" s="7" customFormat="1" ht="14" x14ac:dyDescent="0.3">
      <c r="A284" s="7" t="s">
        <v>947</v>
      </c>
      <c r="C284" s="7" t="s">
        <v>652</v>
      </c>
      <c r="E284" s="7" t="s">
        <v>82</v>
      </c>
      <c r="H284" s="33"/>
      <c r="I284" s="8">
        <f>AVERAGE(I281:I283)</f>
        <v>0.94899999999999995</v>
      </c>
      <c r="J284" s="8">
        <v>2.5999999999999999E-2</v>
      </c>
      <c r="K284" s="33"/>
      <c r="L284" s="33"/>
      <c r="M284" s="8">
        <f>AVERAGE(M281:M283)</f>
        <v>0.81238484691333135</v>
      </c>
      <c r="N284" s="8">
        <f>STDEV(M281:M283)/SQRT(COUNT(M281:M283))</f>
        <v>3.8975709913331325E-2</v>
      </c>
      <c r="O284" s="33"/>
      <c r="Q284" s="38"/>
      <c r="V284" s="13"/>
    </row>
    <row r="285" spans="1:42" s="2" customFormat="1" ht="14" x14ac:dyDescent="0.3">
      <c r="B285" s="2" t="s">
        <v>461</v>
      </c>
      <c r="C285" s="2" t="s">
        <v>1577</v>
      </c>
      <c r="D285" s="2" t="s">
        <v>1578</v>
      </c>
      <c r="E285" s="2" t="s">
        <v>20</v>
      </c>
      <c r="F285" s="2" t="s">
        <v>1483</v>
      </c>
      <c r="H285" s="34"/>
      <c r="I285" s="5"/>
      <c r="J285" s="5"/>
      <c r="K285" s="34"/>
      <c r="L285" s="34" t="s">
        <v>1579</v>
      </c>
      <c r="M285" s="5">
        <v>1.54</v>
      </c>
      <c r="N285" s="5"/>
      <c r="O285" s="34"/>
      <c r="P285" s="251" t="s">
        <v>1484</v>
      </c>
      <c r="Q285" s="252" t="s">
        <v>87</v>
      </c>
      <c r="R285" s="252" t="s">
        <v>502</v>
      </c>
      <c r="S285" s="251" t="s">
        <v>1485</v>
      </c>
      <c r="T285" s="251" t="s">
        <v>1486</v>
      </c>
      <c r="U285" s="251" t="s">
        <v>13</v>
      </c>
      <c r="V285" s="286" t="s">
        <v>1487</v>
      </c>
      <c r="W285" s="286"/>
      <c r="X285" s="286"/>
      <c r="Y285" s="286"/>
      <c r="Z285" s="286"/>
      <c r="AA285" s="286"/>
      <c r="AB285" s="286"/>
      <c r="AC285" s="286"/>
      <c r="AD285" s="286"/>
      <c r="AE285" s="286"/>
      <c r="AF285" s="286"/>
      <c r="AG285" s="286"/>
      <c r="AH285" s="286"/>
      <c r="AI285" s="286"/>
      <c r="AJ285" s="286"/>
      <c r="AK285" s="286"/>
      <c r="AL285" s="286"/>
      <c r="AM285" s="286"/>
      <c r="AN285" s="286"/>
      <c r="AO285" s="286"/>
      <c r="AP285" s="286"/>
    </row>
    <row r="286" spans="1:42" s="7" customFormat="1" ht="14" x14ac:dyDescent="0.3">
      <c r="A286" s="7" t="s">
        <v>950</v>
      </c>
      <c r="C286" s="7" t="s">
        <v>1577</v>
      </c>
      <c r="E286" s="7" t="s">
        <v>20</v>
      </c>
      <c r="H286" s="33"/>
      <c r="I286" s="8"/>
      <c r="J286" s="8"/>
      <c r="K286" s="33"/>
      <c r="L286" s="33"/>
      <c r="M286" s="8">
        <f>AVERAGE(M285)</f>
        <v>1.54</v>
      </c>
      <c r="N286" s="8">
        <f>(1.96-M285)/2</f>
        <v>0.20999999999999996</v>
      </c>
      <c r="O286" s="33"/>
      <c r="Q286" s="38"/>
      <c r="V286" s="13"/>
    </row>
    <row r="287" spans="1:42" x14ac:dyDescent="0.35">
      <c r="A287" s="7" t="s">
        <v>1149</v>
      </c>
      <c r="B287" s="7" t="s">
        <v>1126</v>
      </c>
      <c r="C287" s="7" t="s">
        <v>22</v>
      </c>
      <c r="D287" s="7" t="s">
        <v>21</v>
      </c>
      <c r="E287" s="7" t="s">
        <v>20</v>
      </c>
      <c r="F287" s="7" t="s">
        <v>19</v>
      </c>
      <c r="G287" s="7"/>
      <c r="H287" s="33" t="s">
        <v>18</v>
      </c>
      <c r="I287" s="8">
        <v>1.248</v>
      </c>
      <c r="J287" s="8">
        <v>4.8000000000000001E-2</v>
      </c>
      <c r="K287" s="33">
        <v>105</v>
      </c>
      <c r="L287" s="33"/>
      <c r="M287" s="8"/>
      <c r="N287" s="8"/>
      <c r="O287" s="33"/>
      <c r="P287" s="14" t="s">
        <v>17</v>
      </c>
      <c r="Q287" s="38" t="s">
        <v>16</v>
      </c>
      <c r="R287" s="7" t="s">
        <v>15</v>
      </c>
      <c r="S287" s="7" t="s">
        <v>14</v>
      </c>
      <c r="T287" s="7"/>
      <c r="U287" s="7" t="s">
        <v>13</v>
      </c>
      <c r="V287" s="13" t="s">
        <v>12</v>
      </c>
      <c r="W287" s="7"/>
      <c r="X287" s="7"/>
      <c r="Y287" s="7"/>
      <c r="Z287" s="7"/>
      <c r="AA287" s="7"/>
      <c r="AB287" s="7"/>
    </row>
    <row r="288" spans="1:42" s="2" customFormat="1" ht="14" x14ac:dyDescent="0.3">
      <c r="B288" s="2" t="s">
        <v>461</v>
      </c>
      <c r="C288" s="2" t="s">
        <v>498</v>
      </c>
      <c r="D288" s="2" t="s">
        <v>497</v>
      </c>
      <c r="E288" s="2" t="s">
        <v>82</v>
      </c>
      <c r="F288" s="2" t="s">
        <v>70</v>
      </c>
      <c r="H288" s="34"/>
      <c r="I288" s="5">
        <v>2.1</v>
      </c>
      <c r="J288" s="5">
        <v>0.1</v>
      </c>
      <c r="K288" s="34">
        <v>2</v>
      </c>
      <c r="L288" s="34"/>
      <c r="M288" s="5"/>
      <c r="N288" s="5"/>
      <c r="O288" s="34"/>
      <c r="P288" s="11" t="s">
        <v>74</v>
      </c>
      <c r="Q288" s="39" t="s">
        <v>1135</v>
      </c>
      <c r="R288" s="2" t="s">
        <v>66</v>
      </c>
      <c r="S288" s="2" t="s">
        <v>65</v>
      </c>
      <c r="U288" s="2" t="s">
        <v>37</v>
      </c>
      <c r="V288" s="44" t="s">
        <v>72</v>
      </c>
    </row>
    <row r="289" spans="1:42" s="2" customFormat="1" ht="14" x14ac:dyDescent="0.3">
      <c r="B289" s="2" t="s">
        <v>461</v>
      </c>
      <c r="C289" s="2" t="s">
        <v>498</v>
      </c>
      <c r="D289" s="2" t="s">
        <v>1580</v>
      </c>
      <c r="E289" s="2" t="s">
        <v>82</v>
      </c>
      <c r="F289" s="2" t="s">
        <v>1483</v>
      </c>
      <c r="H289" s="34"/>
      <c r="I289" s="5">
        <v>0.62</v>
      </c>
      <c r="J289" s="5"/>
      <c r="K289" s="34"/>
      <c r="L289" s="34" t="s">
        <v>1582</v>
      </c>
      <c r="M289" s="5">
        <v>0.93</v>
      </c>
      <c r="N289" s="5"/>
      <c r="O289" s="34"/>
      <c r="P289" s="251" t="s">
        <v>1484</v>
      </c>
      <c r="Q289" s="252" t="s">
        <v>87</v>
      </c>
      <c r="R289" s="252" t="s">
        <v>502</v>
      </c>
      <c r="S289" s="251" t="s">
        <v>1485</v>
      </c>
      <c r="T289" s="251" t="s">
        <v>1486</v>
      </c>
      <c r="U289" s="251" t="s">
        <v>13</v>
      </c>
      <c r="V289" s="286" t="s">
        <v>1487</v>
      </c>
      <c r="W289" s="286"/>
      <c r="X289" s="286"/>
      <c r="Y289" s="286"/>
      <c r="Z289" s="286"/>
      <c r="AA289" s="286"/>
      <c r="AB289" s="286"/>
      <c r="AC289" s="286"/>
      <c r="AD289" s="286"/>
      <c r="AE289" s="286"/>
      <c r="AF289" s="286"/>
      <c r="AG289" s="286"/>
      <c r="AH289" s="286"/>
      <c r="AI289" s="286"/>
      <c r="AJ289" s="286"/>
      <c r="AK289" s="286"/>
      <c r="AL289" s="286"/>
      <c r="AM289" s="286"/>
      <c r="AN289" s="286"/>
      <c r="AO289" s="286"/>
      <c r="AP289" s="286"/>
    </row>
    <row r="290" spans="1:42" s="2" customFormat="1" ht="14" x14ac:dyDescent="0.3">
      <c r="B290" s="2" t="s">
        <v>461</v>
      </c>
      <c r="C290" s="2" t="s">
        <v>498</v>
      </c>
      <c r="D290" s="2" t="s">
        <v>1581</v>
      </c>
      <c r="E290" s="2" t="s">
        <v>82</v>
      </c>
      <c r="F290" s="2" t="s">
        <v>1483</v>
      </c>
      <c r="H290" s="34"/>
      <c r="I290" s="5"/>
      <c r="J290" s="5"/>
      <c r="K290" s="34"/>
      <c r="L290" s="34" t="s">
        <v>1583</v>
      </c>
      <c r="M290" s="5">
        <v>0.92</v>
      </c>
      <c r="N290" s="5"/>
      <c r="O290" s="34"/>
      <c r="P290" s="251" t="s">
        <v>1484</v>
      </c>
      <c r="Q290" s="252" t="s">
        <v>87</v>
      </c>
      <c r="R290" s="252" t="s">
        <v>502</v>
      </c>
      <c r="S290" s="251" t="s">
        <v>1485</v>
      </c>
      <c r="T290" s="251" t="s">
        <v>1486</v>
      </c>
      <c r="U290" s="251" t="s">
        <v>13</v>
      </c>
      <c r="V290" s="286" t="s">
        <v>1487</v>
      </c>
      <c r="W290" s="286"/>
      <c r="X290" s="286"/>
      <c r="Y290" s="286"/>
      <c r="Z290" s="286"/>
      <c r="AA290" s="286"/>
      <c r="AB290" s="286"/>
      <c r="AC290" s="286"/>
      <c r="AD290" s="286"/>
      <c r="AE290" s="286"/>
      <c r="AF290" s="286"/>
      <c r="AG290" s="286"/>
      <c r="AH290" s="286"/>
      <c r="AI290" s="286"/>
      <c r="AJ290" s="286"/>
      <c r="AK290" s="286"/>
      <c r="AL290" s="286"/>
      <c r="AM290" s="286"/>
      <c r="AN290" s="286"/>
      <c r="AO290" s="286"/>
      <c r="AP290" s="286"/>
    </row>
    <row r="291" spans="1:42" s="7" customFormat="1" ht="14" x14ac:dyDescent="0.3">
      <c r="A291" s="7" t="s">
        <v>955</v>
      </c>
      <c r="C291" s="7" t="s">
        <v>498</v>
      </c>
      <c r="E291" s="7" t="s">
        <v>82</v>
      </c>
      <c r="H291" s="33"/>
      <c r="I291" s="8">
        <f>AVERAGE(I288:I290)</f>
        <v>1.36</v>
      </c>
      <c r="J291" s="8">
        <f>STDEV(I288:I290)/SQRT(3)</f>
        <v>0.60420746988651719</v>
      </c>
      <c r="K291" s="33"/>
      <c r="L291" s="33"/>
      <c r="M291" s="8">
        <f>AVERAGE(M288:M290)</f>
        <v>0.92500000000000004</v>
      </c>
      <c r="N291" s="8">
        <f>STDEV(M288:M290)/SQRT(COUNT(M288:M290))</f>
        <v>5.0000000000000044E-3</v>
      </c>
      <c r="O291" s="33"/>
      <c r="P291" s="14"/>
      <c r="Q291" s="38"/>
      <c r="V291" s="13"/>
    </row>
    <row r="292" spans="1:42" s="2" customFormat="1" ht="14" x14ac:dyDescent="0.3">
      <c r="B292" s="2" t="s">
        <v>1480</v>
      </c>
      <c r="C292" s="2" t="s">
        <v>1584</v>
      </c>
      <c r="D292" s="2" t="s">
        <v>1585</v>
      </c>
      <c r="E292" s="2" t="s">
        <v>20</v>
      </c>
      <c r="F292" s="2" t="s">
        <v>1483</v>
      </c>
      <c r="H292" s="34"/>
      <c r="I292" s="5"/>
      <c r="J292" s="5"/>
      <c r="K292" s="34"/>
      <c r="L292" s="34" t="s">
        <v>1586</v>
      </c>
      <c r="M292" s="5">
        <v>1.61</v>
      </c>
      <c r="N292" s="5"/>
      <c r="O292" s="34"/>
      <c r="P292" s="251" t="s">
        <v>1484</v>
      </c>
      <c r="Q292" s="252" t="s">
        <v>87</v>
      </c>
      <c r="R292" s="252" t="s">
        <v>502</v>
      </c>
      <c r="S292" s="251" t="s">
        <v>1485</v>
      </c>
      <c r="T292" s="251" t="s">
        <v>1486</v>
      </c>
      <c r="U292" s="251" t="s">
        <v>13</v>
      </c>
      <c r="V292" s="286" t="s">
        <v>1487</v>
      </c>
      <c r="W292" s="286"/>
      <c r="X292" s="286"/>
      <c r="Y292" s="286"/>
      <c r="Z292" s="286"/>
      <c r="AA292" s="286"/>
      <c r="AB292" s="286"/>
      <c r="AC292" s="286"/>
      <c r="AD292" s="286"/>
      <c r="AE292" s="286"/>
      <c r="AF292" s="286"/>
      <c r="AG292" s="286"/>
      <c r="AH292" s="286"/>
      <c r="AI292" s="286"/>
      <c r="AJ292" s="286"/>
      <c r="AK292" s="286"/>
      <c r="AL292" s="286"/>
      <c r="AM292" s="286"/>
      <c r="AN292" s="286"/>
      <c r="AO292" s="286"/>
      <c r="AP292" s="286"/>
    </row>
    <row r="293" spans="1:42" s="7" customFormat="1" ht="14" x14ac:dyDescent="0.3">
      <c r="A293" s="7" t="s">
        <v>957</v>
      </c>
      <c r="C293" s="7" t="s">
        <v>1584</v>
      </c>
      <c r="E293" s="7" t="s">
        <v>20</v>
      </c>
      <c r="H293" s="33"/>
      <c r="I293" s="8"/>
      <c r="J293" s="8"/>
      <c r="K293" s="33"/>
      <c r="L293" s="33"/>
      <c r="M293" s="8">
        <f>AVERAGE(M292)</f>
        <v>1.61</v>
      </c>
      <c r="N293" s="8">
        <f>(1.77-1.61)/2</f>
        <v>7.999999999999996E-2</v>
      </c>
      <c r="O293" s="33"/>
      <c r="P293" s="14"/>
      <c r="Q293" s="38"/>
      <c r="V293" s="13"/>
    </row>
    <row r="294" spans="1:42" x14ac:dyDescent="0.35">
      <c r="A294" s="2"/>
      <c r="B294" s="2" t="s">
        <v>1126</v>
      </c>
      <c r="C294" s="2" t="s">
        <v>1587</v>
      </c>
      <c r="D294" s="2" t="s">
        <v>546</v>
      </c>
      <c r="E294" s="2" t="s">
        <v>1589</v>
      </c>
      <c r="F294" s="2" t="s">
        <v>1483</v>
      </c>
      <c r="G294" s="2"/>
      <c r="H294" s="34"/>
      <c r="I294" s="5"/>
      <c r="J294" s="5"/>
      <c r="K294" s="34"/>
      <c r="L294" s="34"/>
      <c r="M294" s="5">
        <v>1.38</v>
      </c>
      <c r="N294" s="5">
        <v>0.18</v>
      </c>
      <c r="O294" s="34">
        <v>48</v>
      </c>
      <c r="P294" s="2"/>
      <c r="Q294" s="39"/>
      <c r="R294" s="2" t="s">
        <v>502</v>
      </c>
      <c r="S294" s="2" t="s">
        <v>1734</v>
      </c>
      <c r="T294" s="2"/>
      <c r="U294" s="2" t="s">
        <v>13</v>
      </c>
      <c r="V294" s="44" t="s">
        <v>1735</v>
      </c>
      <c r="W294" s="2"/>
    </row>
    <row r="295" spans="1:42" s="2" customFormat="1" ht="14" x14ac:dyDescent="0.3">
      <c r="B295" s="2" t="s">
        <v>1126</v>
      </c>
      <c r="C295" s="2" t="s">
        <v>1587</v>
      </c>
      <c r="D295" s="2" t="s">
        <v>1588</v>
      </c>
      <c r="E295" s="2" t="s">
        <v>1589</v>
      </c>
      <c r="F295" s="2" t="s">
        <v>1483</v>
      </c>
      <c r="H295" s="34"/>
      <c r="I295" s="5"/>
      <c r="J295" s="5"/>
      <c r="K295" s="34"/>
      <c r="L295" s="34" t="s">
        <v>1590</v>
      </c>
      <c r="M295" s="5">
        <v>1.34</v>
      </c>
      <c r="N295" s="5"/>
      <c r="O295" s="34"/>
      <c r="P295" s="251" t="s">
        <v>1484</v>
      </c>
      <c r="Q295" s="252" t="s">
        <v>87</v>
      </c>
      <c r="R295" s="252" t="s">
        <v>502</v>
      </c>
      <c r="S295" s="251" t="s">
        <v>1485</v>
      </c>
      <c r="T295" s="251" t="s">
        <v>1486</v>
      </c>
      <c r="U295" s="251" t="s">
        <v>13</v>
      </c>
      <c r="V295" s="286" t="s">
        <v>1487</v>
      </c>
      <c r="W295" s="286"/>
      <c r="X295" s="286"/>
      <c r="Y295" s="286"/>
      <c r="Z295" s="286"/>
      <c r="AA295" s="286"/>
      <c r="AB295" s="286"/>
      <c r="AC295" s="286"/>
      <c r="AD295" s="286"/>
      <c r="AE295" s="286"/>
      <c r="AF295" s="286"/>
      <c r="AG295" s="286"/>
      <c r="AH295" s="286"/>
      <c r="AI295" s="286"/>
      <c r="AJ295" s="286"/>
      <c r="AK295" s="286"/>
      <c r="AL295" s="286"/>
      <c r="AM295" s="286"/>
      <c r="AN295" s="286"/>
      <c r="AO295" s="286"/>
      <c r="AP295" s="286"/>
    </row>
    <row r="296" spans="1:42" s="7" customFormat="1" ht="14" x14ac:dyDescent="0.3">
      <c r="A296" s="7" t="s">
        <v>960</v>
      </c>
      <c r="C296" s="7" t="s">
        <v>1587</v>
      </c>
      <c r="E296" s="7" t="s">
        <v>20</v>
      </c>
      <c r="H296" s="33"/>
      <c r="I296" s="8"/>
      <c r="J296" s="8"/>
      <c r="K296" s="33"/>
      <c r="L296" s="33"/>
      <c r="M296" s="8">
        <f>AVERAGE(M294:M295)</f>
        <v>1.3599999999999999</v>
      </c>
      <c r="N296" s="8">
        <f>STDEV(M294:M295)/SQRT(COUNT(M294:M295))</f>
        <v>1.9999999999999907E-2</v>
      </c>
      <c r="O296" s="33"/>
      <c r="P296" s="14"/>
      <c r="Q296" s="38"/>
      <c r="V296" s="13"/>
    </row>
    <row r="297" spans="1:42" s="2" customFormat="1" ht="14" x14ac:dyDescent="0.3">
      <c r="B297" s="2" t="s">
        <v>461</v>
      </c>
      <c r="C297" s="2" t="s">
        <v>1779</v>
      </c>
      <c r="D297" s="3" t="s">
        <v>519</v>
      </c>
      <c r="E297" s="3" t="s">
        <v>82</v>
      </c>
      <c r="F297" s="3" t="s">
        <v>59</v>
      </c>
      <c r="G297" s="3"/>
      <c r="H297" s="32" t="s">
        <v>520</v>
      </c>
      <c r="I297" s="4">
        <v>0.56000000000000005</v>
      </c>
      <c r="J297" s="4"/>
      <c r="K297" s="32">
        <v>3</v>
      </c>
      <c r="L297" s="32"/>
      <c r="M297" s="4"/>
      <c r="N297" s="4"/>
      <c r="O297" s="32"/>
      <c r="P297" s="3"/>
      <c r="Q297" s="26" t="s">
        <v>40</v>
      </c>
      <c r="R297" s="3" t="s">
        <v>4</v>
      </c>
      <c r="S297" s="2" t="s">
        <v>62</v>
      </c>
      <c r="T297" s="3" t="s">
        <v>61</v>
      </c>
      <c r="U297" s="3" t="s">
        <v>1</v>
      </c>
      <c r="V297" s="10" t="s">
        <v>55</v>
      </c>
      <c r="W297" s="3"/>
    </row>
    <row r="298" spans="1:42" s="2" customFormat="1" ht="14" x14ac:dyDescent="0.3">
      <c r="B298" s="2" t="s">
        <v>461</v>
      </c>
      <c r="C298" s="2" t="s">
        <v>1779</v>
      </c>
      <c r="D298" s="3" t="s">
        <v>519</v>
      </c>
      <c r="E298" s="3" t="s">
        <v>20</v>
      </c>
      <c r="F298" s="3" t="s">
        <v>1781</v>
      </c>
      <c r="G298" s="3"/>
      <c r="H298" s="32"/>
      <c r="I298" s="235">
        <v>0.28000000000000003</v>
      </c>
      <c r="J298" s="4"/>
      <c r="K298" s="32">
        <v>1</v>
      </c>
      <c r="L298" s="32"/>
      <c r="M298" s="4"/>
      <c r="N298" s="4"/>
      <c r="O298" s="32"/>
      <c r="P298" s="3" t="s">
        <v>347</v>
      </c>
      <c r="Q298" s="26" t="s">
        <v>40</v>
      </c>
      <c r="R298" s="3" t="s">
        <v>4</v>
      </c>
      <c r="S298" s="3" t="s">
        <v>354</v>
      </c>
      <c r="T298" s="3" t="s">
        <v>353</v>
      </c>
      <c r="U298" s="3" t="s">
        <v>1</v>
      </c>
      <c r="V298" s="10" t="s">
        <v>352</v>
      </c>
      <c r="W298" s="3"/>
    </row>
    <row r="299" spans="1:42" s="15" customFormat="1" ht="14" x14ac:dyDescent="0.3">
      <c r="A299" s="7" t="s">
        <v>1778</v>
      </c>
      <c r="C299" s="15" t="s">
        <v>1660</v>
      </c>
      <c r="E299" s="15" t="s">
        <v>1780</v>
      </c>
      <c r="H299" s="35"/>
      <c r="I299" s="16">
        <f>AVERAGE(I297)</f>
        <v>0.56000000000000005</v>
      </c>
      <c r="J299" s="16">
        <f>(0.61-I297)/2/SQRT(K297)</f>
        <v>1.4433756729740626E-2</v>
      </c>
      <c r="K299" s="35"/>
      <c r="L299" s="35"/>
      <c r="M299" s="16"/>
      <c r="N299" s="16"/>
      <c r="O299" s="35"/>
      <c r="Q299" s="41"/>
      <c r="V299" s="46"/>
    </row>
    <row r="300" spans="1:42" s="2" customFormat="1" ht="14" x14ac:dyDescent="0.3">
      <c r="B300" s="3" t="s">
        <v>610</v>
      </c>
      <c r="C300" s="3" t="s">
        <v>611</v>
      </c>
      <c r="D300" s="3" t="s">
        <v>641</v>
      </c>
      <c r="E300" s="3" t="s">
        <v>338</v>
      </c>
      <c r="F300" s="3" t="s">
        <v>304</v>
      </c>
      <c r="G300" s="3" t="s">
        <v>1065</v>
      </c>
      <c r="H300" s="32" t="s">
        <v>640</v>
      </c>
      <c r="I300" s="4">
        <f>AVERAGE(1.31,1.1)</f>
        <v>1.2050000000000001</v>
      </c>
      <c r="J300" s="4">
        <f>STDEV(1.31,1.1)</f>
        <v>0.14849242404917495</v>
      </c>
      <c r="K300" s="32">
        <v>7</v>
      </c>
      <c r="L300" s="32"/>
      <c r="M300" s="4"/>
      <c r="N300" s="4"/>
      <c r="O300" s="32"/>
      <c r="P300" s="3" t="s">
        <v>88</v>
      </c>
      <c r="Q300" s="26" t="s">
        <v>40</v>
      </c>
      <c r="R300" s="3" t="s">
        <v>39</v>
      </c>
      <c r="S300" s="3" t="s">
        <v>273</v>
      </c>
      <c r="T300" s="3"/>
      <c r="U300" s="3" t="s">
        <v>37</v>
      </c>
      <c r="V300" s="10" t="s">
        <v>272</v>
      </c>
      <c r="W300" s="3"/>
    </row>
    <row r="301" spans="1:42" s="7" customFormat="1" ht="14" x14ac:dyDescent="0.3">
      <c r="A301" s="7" t="s">
        <v>965</v>
      </c>
      <c r="C301" s="7" t="s">
        <v>611</v>
      </c>
      <c r="E301" s="7" t="s">
        <v>338</v>
      </c>
      <c r="H301" s="33"/>
      <c r="I301" s="8">
        <f>AVERAGE(I300:I300)</f>
        <v>1.2050000000000001</v>
      </c>
      <c r="J301" s="8">
        <f>IF(COUNT(I300)=1,SUM(J300),STDEV(I300))</f>
        <v>0.14849242404917495</v>
      </c>
      <c r="K301" s="33"/>
      <c r="L301" s="33"/>
      <c r="M301" s="8"/>
      <c r="N301" s="8"/>
      <c r="O301" s="33"/>
      <c r="Q301" s="38"/>
      <c r="V301" s="13"/>
    </row>
    <row r="302" spans="1:42" s="2" customFormat="1" ht="14" x14ac:dyDescent="0.3">
      <c r="B302" s="3" t="s">
        <v>610</v>
      </c>
      <c r="C302" s="3" t="s">
        <v>611</v>
      </c>
      <c r="D302" s="3" t="s">
        <v>634</v>
      </c>
      <c r="E302" s="3" t="s">
        <v>20</v>
      </c>
      <c r="F302" s="3" t="s">
        <v>31</v>
      </c>
      <c r="G302" s="3"/>
      <c r="H302" s="32" t="s">
        <v>638</v>
      </c>
      <c r="I302" s="235">
        <v>0.35</v>
      </c>
      <c r="J302" s="4">
        <v>6.5000000000000002E-2</v>
      </c>
      <c r="K302" s="32">
        <v>7</v>
      </c>
      <c r="L302" s="32"/>
      <c r="M302" s="4"/>
      <c r="N302" s="4"/>
      <c r="O302" s="32"/>
      <c r="P302" s="6" t="s">
        <v>74</v>
      </c>
      <c r="Q302" s="26" t="s">
        <v>77</v>
      </c>
      <c r="R302" s="3" t="s">
        <v>51</v>
      </c>
      <c r="S302" s="3" t="s">
        <v>76</v>
      </c>
      <c r="T302" s="3"/>
      <c r="U302" s="3" t="s">
        <v>48</v>
      </c>
      <c r="V302" s="10" t="s">
        <v>75</v>
      </c>
      <c r="W302" s="3"/>
    </row>
    <row r="303" spans="1:42" s="2" customFormat="1" ht="14" x14ac:dyDescent="0.3">
      <c r="B303" s="3" t="s">
        <v>610</v>
      </c>
      <c r="C303" s="3" t="s">
        <v>611</v>
      </c>
      <c r="D303" s="3" t="s">
        <v>634</v>
      </c>
      <c r="E303" s="3" t="s">
        <v>637</v>
      </c>
      <c r="F303" s="3" t="s">
        <v>329</v>
      </c>
      <c r="G303" s="3"/>
      <c r="H303" s="32" t="s">
        <v>636</v>
      </c>
      <c r="I303" s="235">
        <v>0.32</v>
      </c>
      <c r="J303" s="4"/>
      <c r="K303" s="32">
        <v>9</v>
      </c>
      <c r="L303" s="32" t="s">
        <v>635</v>
      </c>
      <c r="M303" s="4">
        <v>1.96</v>
      </c>
      <c r="N303" s="4"/>
      <c r="O303" s="32">
        <v>9</v>
      </c>
      <c r="P303" s="3" t="s">
        <v>68</v>
      </c>
      <c r="Q303" s="26" t="s">
        <v>77</v>
      </c>
      <c r="R303" s="3" t="s">
        <v>424</v>
      </c>
      <c r="S303" s="3" t="s">
        <v>423</v>
      </c>
      <c r="T303" s="3" t="s">
        <v>422</v>
      </c>
      <c r="U303" s="3" t="s">
        <v>48</v>
      </c>
      <c r="V303" s="29" t="s">
        <v>421</v>
      </c>
      <c r="W303" s="3"/>
    </row>
    <row r="304" spans="1:42" s="2" customFormat="1" ht="14" x14ac:dyDescent="0.3">
      <c r="B304" s="3" t="s">
        <v>610</v>
      </c>
      <c r="C304" s="3" t="s">
        <v>611</v>
      </c>
      <c r="D304" s="3" t="s">
        <v>634</v>
      </c>
      <c r="E304" s="3" t="s">
        <v>20</v>
      </c>
      <c r="F304" s="3" t="s">
        <v>304</v>
      </c>
      <c r="G304" s="3" t="s">
        <v>305</v>
      </c>
      <c r="H304" s="32" t="s">
        <v>189</v>
      </c>
      <c r="I304" s="4">
        <v>1.51</v>
      </c>
      <c r="J304" s="4">
        <v>0.32</v>
      </c>
      <c r="K304" s="32">
        <v>11</v>
      </c>
      <c r="L304" s="32"/>
      <c r="M304" s="4"/>
      <c r="N304" s="4"/>
      <c r="O304" s="32"/>
      <c r="P304" s="3" t="s">
        <v>88</v>
      </c>
      <c r="Q304" s="26" t="s">
        <v>40</v>
      </c>
      <c r="R304" s="3" t="s">
        <v>39</v>
      </c>
      <c r="S304" s="3" t="s">
        <v>399</v>
      </c>
      <c r="T304" s="3"/>
      <c r="U304" s="3" t="s">
        <v>37</v>
      </c>
      <c r="V304" s="10" t="s">
        <v>272</v>
      </c>
      <c r="W304" s="3"/>
    </row>
    <row r="305" spans="1:42" x14ac:dyDescent="0.35">
      <c r="A305" s="2"/>
      <c r="B305" s="2" t="s">
        <v>610</v>
      </c>
      <c r="C305" s="2" t="s">
        <v>611</v>
      </c>
      <c r="D305" s="2" t="s">
        <v>634</v>
      </c>
      <c r="E305" s="2" t="s">
        <v>20</v>
      </c>
      <c r="F305" s="2" t="s">
        <v>1763</v>
      </c>
      <c r="G305" s="2" t="s">
        <v>1792</v>
      </c>
      <c r="H305" s="34"/>
      <c r="I305" s="235">
        <v>0.26203341648148554</v>
      </c>
      <c r="J305" s="5">
        <v>6.0954501397899409E-2</v>
      </c>
      <c r="K305" s="34">
        <v>4</v>
      </c>
      <c r="L305" s="34"/>
      <c r="M305" s="5"/>
      <c r="N305" s="5"/>
      <c r="O305" s="34"/>
      <c r="P305" s="2" t="s">
        <v>798</v>
      </c>
      <c r="Q305" s="42" t="s">
        <v>1139</v>
      </c>
      <c r="R305" s="2" t="s">
        <v>1765</v>
      </c>
      <c r="S305" s="2" t="s">
        <v>1766</v>
      </c>
      <c r="T305" s="2"/>
      <c r="U305" s="2" t="s">
        <v>24</v>
      </c>
      <c r="V305" s="44" t="s">
        <v>1767</v>
      </c>
      <c r="W305" s="2"/>
    </row>
    <row r="306" spans="1:42" x14ac:dyDescent="0.35">
      <c r="A306" s="2"/>
      <c r="B306" s="2" t="s">
        <v>610</v>
      </c>
      <c r="C306" s="2" t="s">
        <v>611</v>
      </c>
      <c r="D306" s="2" t="s">
        <v>634</v>
      </c>
      <c r="E306" s="2" t="s">
        <v>20</v>
      </c>
      <c r="F306" s="2" t="s">
        <v>1763</v>
      </c>
      <c r="G306" s="2" t="s">
        <v>1701</v>
      </c>
      <c r="H306" s="34" t="s">
        <v>1775</v>
      </c>
      <c r="I306" s="5">
        <v>0.78642777452641321</v>
      </c>
      <c r="J306" s="5">
        <v>0.46248856085120194</v>
      </c>
      <c r="K306" s="34">
        <v>4</v>
      </c>
      <c r="L306" s="34"/>
      <c r="M306" s="5"/>
      <c r="N306" s="5"/>
      <c r="O306" s="34"/>
      <c r="P306" s="2" t="s">
        <v>798</v>
      </c>
      <c r="Q306" s="42" t="s">
        <v>1139</v>
      </c>
      <c r="R306" s="2" t="s">
        <v>1765</v>
      </c>
      <c r="S306" s="2" t="s">
        <v>1766</v>
      </c>
      <c r="T306" s="2"/>
      <c r="U306" s="2" t="s">
        <v>24</v>
      </c>
      <c r="V306" s="44" t="s">
        <v>1767</v>
      </c>
      <c r="W306" s="2"/>
    </row>
    <row r="307" spans="1:42" s="7" customFormat="1" ht="14" x14ac:dyDescent="0.3">
      <c r="A307" s="7" t="s">
        <v>966</v>
      </c>
      <c r="C307" s="7" t="s">
        <v>611</v>
      </c>
      <c r="E307" s="7" t="s">
        <v>20</v>
      </c>
      <c r="H307" s="33"/>
      <c r="I307" s="8">
        <f>AVERAGE(I304,I306)</f>
        <v>1.1482138872632066</v>
      </c>
      <c r="J307" s="8">
        <f>STDEV(I304,I306)/SQRT(COUNT(I304,I306))</f>
        <v>0.36178611273679351</v>
      </c>
      <c r="K307" s="33"/>
      <c r="L307" s="33"/>
      <c r="M307" s="8">
        <f>AVERAGE(M302:M306)</f>
        <v>1.96</v>
      </c>
      <c r="N307" s="8">
        <f>(2.18-M303)/SQRT(O303)</f>
        <v>7.3333333333333403E-2</v>
      </c>
      <c r="O307" s="33"/>
      <c r="Q307" s="38"/>
      <c r="V307" s="43"/>
    </row>
    <row r="308" spans="1:42" s="2" customFormat="1" ht="14" x14ac:dyDescent="0.3">
      <c r="B308" s="3" t="s">
        <v>610</v>
      </c>
      <c r="C308" s="3" t="s">
        <v>611</v>
      </c>
      <c r="D308" s="3" t="s">
        <v>633</v>
      </c>
      <c r="E308" s="3" t="s">
        <v>609</v>
      </c>
      <c r="F308" s="3" t="s">
        <v>31</v>
      </c>
      <c r="G308" s="3" t="s">
        <v>1054</v>
      </c>
      <c r="H308" s="32"/>
      <c r="I308" s="4">
        <f>1.73*1.2</f>
        <v>2.0760000000000001</v>
      </c>
      <c r="J308" s="4">
        <f>0.62*1.2</f>
        <v>0.74399999999999999</v>
      </c>
      <c r="K308" s="32">
        <v>32</v>
      </c>
      <c r="L308" s="32"/>
      <c r="M308" s="4"/>
      <c r="N308" s="4"/>
      <c r="O308" s="32"/>
      <c r="P308" s="3"/>
      <c r="Q308" s="26" t="s">
        <v>40</v>
      </c>
      <c r="R308" s="3" t="s">
        <v>370</v>
      </c>
      <c r="S308" s="3" t="s">
        <v>632</v>
      </c>
      <c r="T308" s="3"/>
      <c r="U308" s="3" t="s">
        <v>85</v>
      </c>
      <c r="V308" s="10" t="s">
        <v>631</v>
      </c>
      <c r="W308" s="3"/>
    </row>
    <row r="309" spans="1:42" s="2" customFormat="1" ht="14" x14ac:dyDescent="0.3">
      <c r="B309" s="2" t="s">
        <v>610</v>
      </c>
      <c r="C309" s="2" t="s">
        <v>611</v>
      </c>
      <c r="D309" s="2" t="s">
        <v>633</v>
      </c>
      <c r="E309" s="2" t="s">
        <v>609</v>
      </c>
      <c r="F309" s="2" t="s">
        <v>1483</v>
      </c>
      <c r="H309" s="34"/>
      <c r="I309" s="5"/>
      <c r="J309" s="5"/>
      <c r="K309" s="34"/>
      <c r="L309" s="34" t="s">
        <v>1591</v>
      </c>
      <c r="M309" s="5">
        <v>1.83</v>
      </c>
      <c r="N309" s="5"/>
      <c r="O309" s="34"/>
      <c r="P309" s="251" t="s">
        <v>1484</v>
      </c>
      <c r="Q309" s="252" t="s">
        <v>87</v>
      </c>
      <c r="R309" s="252" t="s">
        <v>502</v>
      </c>
      <c r="S309" s="251" t="s">
        <v>1485</v>
      </c>
      <c r="T309" s="251" t="s">
        <v>1486</v>
      </c>
      <c r="U309" s="251" t="s">
        <v>13</v>
      </c>
      <c r="V309" s="286" t="s">
        <v>1487</v>
      </c>
      <c r="W309" s="286"/>
      <c r="X309" s="286"/>
      <c r="Y309" s="286"/>
      <c r="Z309" s="286"/>
      <c r="AA309" s="286"/>
      <c r="AB309" s="286"/>
      <c r="AC309" s="286"/>
      <c r="AD309" s="286"/>
      <c r="AE309" s="286"/>
      <c r="AF309" s="286"/>
      <c r="AG309" s="286"/>
      <c r="AH309" s="286"/>
      <c r="AI309" s="286"/>
      <c r="AJ309" s="286"/>
      <c r="AK309" s="286"/>
      <c r="AL309" s="286"/>
      <c r="AM309" s="286"/>
      <c r="AN309" s="286"/>
      <c r="AO309" s="286"/>
      <c r="AP309" s="286"/>
    </row>
    <row r="310" spans="1:42" s="2" customFormat="1" ht="14" x14ac:dyDescent="0.3">
      <c r="B310" s="2" t="s">
        <v>610</v>
      </c>
      <c r="C310" s="2" t="s">
        <v>611</v>
      </c>
      <c r="D310" s="2" t="s">
        <v>807</v>
      </c>
      <c r="E310" s="2" t="s">
        <v>609</v>
      </c>
      <c r="F310" s="2" t="s">
        <v>1046</v>
      </c>
      <c r="G310" s="2" t="s">
        <v>54</v>
      </c>
      <c r="H310" s="34" t="s">
        <v>1048</v>
      </c>
      <c r="I310" s="5">
        <v>1.47</v>
      </c>
      <c r="J310" s="5">
        <v>0.7</v>
      </c>
      <c r="K310" s="34"/>
      <c r="L310" s="34"/>
      <c r="M310" s="5">
        <v>1.87</v>
      </c>
      <c r="N310" s="5">
        <v>0</v>
      </c>
      <c r="O310" s="34">
        <v>1</v>
      </c>
      <c r="P310" s="2" t="s">
        <v>120</v>
      </c>
      <c r="Q310" s="39" t="s">
        <v>639</v>
      </c>
      <c r="R310" s="2" t="s">
        <v>15</v>
      </c>
      <c r="S310" s="2" t="s">
        <v>118</v>
      </c>
      <c r="U310" s="2" t="s">
        <v>13</v>
      </c>
      <c r="V310" s="44" t="s">
        <v>117</v>
      </c>
    </row>
    <row r="311" spans="1:42" s="2" customFormat="1" ht="14" x14ac:dyDescent="0.3">
      <c r="B311" s="2" t="s">
        <v>610</v>
      </c>
      <c r="C311" s="2" t="s">
        <v>611</v>
      </c>
      <c r="D311" s="2" t="s">
        <v>1592</v>
      </c>
      <c r="E311" s="2" t="s">
        <v>609</v>
      </c>
      <c r="F311" s="2" t="s">
        <v>1483</v>
      </c>
      <c r="H311" s="34" t="s">
        <v>1595</v>
      </c>
      <c r="I311" s="5">
        <v>1.76456145</v>
      </c>
      <c r="J311" s="5"/>
      <c r="K311" s="34"/>
      <c r="L311" s="34" t="s">
        <v>1598</v>
      </c>
      <c r="M311" s="5">
        <v>1.6669278280000002</v>
      </c>
      <c r="N311" s="5"/>
      <c r="O311" s="34"/>
      <c r="P311" s="251" t="s">
        <v>1484</v>
      </c>
      <c r="Q311" s="252" t="s">
        <v>87</v>
      </c>
      <c r="R311" s="252" t="s">
        <v>502</v>
      </c>
      <c r="S311" s="251" t="s">
        <v>1485</v>
      </c>
      <c r="T311" s="251" t="s">
        <v>1486</v>
      </c>
      <c r="U311" s="251" t="s">
        <v>13</v>
      </c>
      <c r="V311" s="286" t="s">
        <v>1487</v>
      </c>
      <c r="W311" s="286"/>
      <c r="X311" s="286"/>
      <c r="Y311" s="286"/>
      <c r="Z311" s="286"/>
      <c r="AA311" s="286"/>
      <c r="AB311" s="286"/>
      <c r="AC311" s="286"/>
      <c r="AD311" s="286"/>
      <c r="AE311" s="286"/>
      <c r="AF311" s="286"/>
      <c r="AG311" s="286"/>
      <c r="AH311" s="286"/>
      <c r="AI311" s="286"/>
      <c r="AJ311" s="286"/>
      <c r="AK311" s="286"/>
      <c r="AL311" s="286"/>
      <c r="AM311" s="286"/>
      <c r="AN311" s="286"/>
      <c r="AO311" s="286"/>
      <c r="AP311" s="286"/>
    </row>
    <row r="312" spans="1:42" s="2" customFormat="1" ht="14" x14ac:dyDescent="0.3">
      <c r="B312" s="2" t="s">
        <v>610</v>
      </c>
      <c r="C312" s="2" t="s">
        <v>611</v>
      </c>
      <c r="D312" s="2" t="s">
        <v>1593</v>
      </c>
      <c r="E312" s="2" t="s">
        <v>609</v>
      </c>
      <c r="F312" s="2" t="s">
        <v>1483</v>
      </c>
      <c r="H312" s="34" t="s">
        <v>1596</v>
      </c>
      <c r="I312" s="5">
        <v>0.53124012275180277</v>
      </c>
      <c r="J312" s="5"/>
      <c r="K312" s="34"/>
      <c r="L312" s="34" t="s">
        <v>1599</v>
      </c>
      <c r="M312" s="5">
        <v>1.6396891243487868</v>
      </c>
      <c r="N312" s="5"/>
      <c r="O312" s="34"/>
      <c r="P312" s="251" t="s">
        <v>1484</v>
      </c>
      <c r="Q312" s="252" t="s">
        <v>87</v>
      </c>
      <c r="R312" s="252" t="s">
        <v>502</v>
      </c>
      <c r="S312" s="251" t="s">
        <v>1485</v>
      </c>
      <c r="T312" s="251" t="s">
        <v>1486</v>
      </c>
      <c r="U312" s="251" t="s">
        <v>13</v>
      </c>
      <c r="V312" s="286" t="s">
        <v>1487</v>
      </c>
      <c r="W312" s="286"/>
      <c r="X312" s="286"/>
      <c r="Y312" s="286"/>
      <c r="Z312" s="286"/>
      <c r="AA312" s="286"/>
      <c r="AB312" s="286"/>
      <c r="AC312" s="286"/>
      <c r="AD312" s="286"/>
      <c r="AE312" s="286"/>
      <c r="AF312" s="286"/>
      <c r="AG312" s="286"/>
      <c r="AH312" s="286"/>
      <c r="AI312" s="286"/>
      <c r="AJ312" s="286"/>
      <c r="AK312" s="286"/>
      <c r="AL312" s="286"/>
      <c r="AM312" s="286"/>
      <c r="AN312" s="286"/>
      <c r="AO312" s="286"/>
      <c r="AP312" s="286"/>
    </row>
    <row r="313" spans="1:42" s="2" customFormat="1" ht="14" x14ac:dyDescent="0.3">
      <c r="B313" s="2" t="s">
        <v>610</v>
      </c>
      <c r="C313" s="2" t="s">
        <v>611</v>
      </c>
      <c r="D313" s="2" t="s">
        <v>1594</v>
      </c>
      <c r="E313" s="2" t="s">
        <v>609</v>
      </c>
      <c r="F313" s="2" t="s">
        <v>1483</v>
      </c>
      <c r="H313" s="34" t="s">
        <v>1597</v>
      </c>
      <c r="I313" s="5">
        <v>2.8033286999999998</v>
      </c>
      <c r="J313" s="5"/>
      <c r="K313" s="34"/>
      <c r="L313" s="34" t="s">
        <v>1600</v>
      </c>
      <c r="M313" s="5">
        <v>1.6171521856602025</v>
      </c>
      <c r="N313" s="5"/>
      <c r="O313" s="34"/>
      <c r="P313" s="251" t="s">
        <v>1484</v>
      </c>
      <c r="Q313" s="252" t="s">
        <v>87</v>
      </c>
      <c r="R313" s="252" t="s">
        <v>502</v>
      </c>
      <c r="S313" s="251" t="s">
        <v>1485</v>
      </c>
      <c r="T313" s="251" t="s">
        <v>1486</v>
      </c>
      <c r="U313" s="251" t="s">
        <v>13</v>
      </c>
      <c r="V313" s="286" t="s">
        <v>1487</v>
      </c>
      <c r="W313" s="286"/>
      <c r="X313" s="286"/>
      <c r="Y313" s="286"/>
      <c r="Z313" s="286"/>
      <c r="AA313" s="286"/>
      <c r="AB313" s="286"/>
      <c r="AC313" s="286"/>
      <c r="AD313" s="286"/>
      <c r="AE313" s="286"/>
      <c r="AF313" s="286"/>
      <c r="AG313" s="286"/>
      <c r="AH313" s="286"/>
      <c r="AI313" s="286"/>
      <c r="AJ313" s="286"/>
      <c r="AK313" s="286"/>
      <c r="AL313" s="286"/>
      <c r="AM313" s="286"/>
      <c r="AN313" s="286"/>
      <c r="AO313" s="286"/>
      <c r="AP313" s="286"/>
    </row>
    <row r="314" spans="1:42" s="7" customFormat="1" ht="14" x14ac:dyDescent="0.3">
      <c r="A314" s="7" t="s">
        <v>967</v>
      </c>
      <c r="C314" s="7" t="s">
        <v>611</v>
      </c>
      <c r="E314" s="7" t="s">
        <v>609</v>
      </c>
      <c r="H314" s="33"/>
      <c r="I314" s="8">
        <f>AVERAGE(I308:I313)</f>
        <v>1.7290260545503606</v>
      </c>
      <c r="J314" s="8">
        <f>STDEV(I308:I313)/SQRT(COUNT(I308:I313))</f>
        <v>0.37266375544995028</v>
      </c>
      <c r="K314" s="33"/>
      <c r="L314" s="33"/>
      <c r="M314" s="8">
        <f>AVERAGE(M308:M313)</f>
        <v>1.724753827601798</v>
      </c>
      <c r="N314" s="8">
        <f>STDEV(M308:M313)/SQRT(COUNT(M308:M313))</f>
        <v>5.2120615268239891E-2</v>
      </c>
      <c r="O314" s="33"/>
      <c r="Q314" s="38"/>
      <c r="V314" s="43"/>
    </row>
    <row r="315" spans="1:42" s="2" customFormat="1" ht="14" x14ac:dyDescent="0.3">
      <c r="B315" s="3" t="s">
        <v>610</v>
      </c>
      <c r="C315" s="3" t="s">
        <v>611</v>
      </c>
      <c r="D315" s="3" t="s">
        <v>625</v>
      </c>
      <c r="E315" s="3" t="s">
        <v>82</v>
      </c>
      <c r="F315" s="3" t="s">
        <v>31</v>
      </c>
      <c r="G315" s="3"/>
      <c r="H315" s="32" t="s">
        <v>630</v>
      </c>
      <c r="I315" s="4">
        <v>0.96</v>
      </c>
      <c r="J315" s="4">
        <v>0.17699999999999999</v>
      </c>
      <c r="K315" s="32">
        <v>12</v>
      </c>
      <c r="L315" s="32"/>
      <c r="M315" s="4"/>
      <c r="N315" s="4"/>
      <c r="O315" s="32"/>
      <c r="P315" s="6" t="s">
        <v>74</v>
      </c>
      <c r="Q315" s="26" t="s">
        <v>77</v>
      </c>
      <c r="R315" s="3" t="s">
        <v>51</v>
      </c>
      <c r="S315" s="3" t="s">
        <v>76</v>
      </c>
      <c r="T315" s="3" t="s">
        <v>1088</v>
      </c>
      <c r="U315" s="3" t="s">
        <v>48</v>
      </c>
      <c r="V315" s="10" t="s">
        <v>75</v>
      </c>
      <c r="W315" s="3"/>
    </row>
    <row r="316" spans="1:42" s="2" customFormat="1" ht="14" x14ac:dyDescent="0.3">
      <c r="B316" s="3" t="s">
        <v>610</v>
      </c>
      <c r="C316" s="3" t="s">
        <v>611</v>
      </c>
      <c r="D316" s="3" t="s">
        <v>625</v>
      </c>
      <c r="E316" s="3" t="s">
        <v>82</v>
      </c>
      <c r="F316" s="3" t="s">
        <v>329</v>
      </c>
      <c r="G316" s="3"/>
      <c r="H316" s="32" t="s">
        <v>643</v>
      </c>
      <c r="I316" s="4">
        <v>0.98</v>
      </c>
      <c r="J316" s="4"/>
      <c r="K316" s="32">
        <v>13</v>
      </c>
      <c r="L316" s="32" t="s">
        <v>642</v>
      </c>
      <c r="M316" s="4">
        <v>1.69</v>
      </c>
      <c r="N316" s="4"/>
      <c r="O316" s="32">
        <v>13</v>
      </c>
      <c r="P316" s="3" t="s">
        <v>68</v>
      </c>
      <c r="Q316" s="26" t="s">
        <v>77</v>
      </c>
      <c r="R316" s="3" t="s">
        <v>424</v>
      </c>
      <c r="S316" s="3" t="s">
        <v>423</v>
      </c>
      <c r="T316" s="3" t="s">
        <v>1088</v>
      </c>
      <c r="U316" s="3" t="s">
        <v>48</v>
      </c>
      <c r="V316" s="29" t="s">
        <v>421</v>
      </c>
      <c r="W316" s="3"/>
    </row>
    <row r="317" spans="1:42" s="2" customFormat="1" ht="14" x14ac:dyDescent="0.3">
      <c r="B317" s="3" t="s">
        <v>610</v>
      </c>
      <c r="C317" s="3" t="s">
        <v>611</v>
      </c>
      <c r="D317" s="3" t="s">
        <v>625</v>
      </c>
      <c r="E317" s="3" t="s">
        <v>82</v>
      </c>
      <c r="F317" s="3" t="s">
        <v>59</v>
      </c>
      <c r="G317" s="3"/>
      <c r="H317" s="32"/>
      <c r="I317" s="4">
        <v>0.93</v>
      </c>
      <c r="J317" s="4">
        <v>4.2000000000000003E-2</v>
      </c>
      <c r="K317" s="32">
        <v>7</v>
      </c>
      <c r="L317" s="32"/>
      <c r="M317" s="4">
        <v>1.86</v>
      </c>
      <c r="N317" s="4">
        <v>3.2000000000000001E-2</v>
      </c>
      <c r="O317" s="32"/>
      <c r="P317" s="6" t="s">
        <v>74</v>
      </c>
      <c r="Q317" s="26" t="s">
        <v>451</v>
      </c>
      <c r="R317" s="3" t="s">
        <v>424</v>
      </c>
      <c r="S317" s="3" t="s">
        <v>629</v>
      </c>
      <c r="T317" s="3" t="s">
        <v>1088</v>
      </c>
      <c r="U317" s="3" t="s">
        <v>48</v>
      </c>
      <c r="V317" s="10" t="s">
        <v>628</v>
      </c>
      <c r="W317" s="3"/>
    </row>
    <row r="318" spans="1:42" s="2" customFormat="1" ht="14" x14ac:dyDescent="0.3">
      <c r="B318" s="3" t="s">
        <v>610</v>
      </c>
      <c r="C318" s="3" t="s">
        <v>611</v>
      </c>
      <c r="D318" s="3" t="s">
        <v>625</v>
      </c>
      <c r="E318" s="3" t="s">
        <v>82</v>
      </c>
      <c r="F318" s="3" t="s">
        <v>31</v>
      </c>
      <c r="G318" s="3" t="s">
        <v>1114</v>
      </c>
      <c r="H318" s="32" t="s">
        <v>1115</v>
      </c>
      <c r="I318" s="4">
        <f>AVERAGE(2.25,1.608)</f>
        <v>1.929</v>
      </c>
      <c r="J318" s="4">
        <f>AVERAGE(0.258,0.323)</f>
        <v>0.29049999999999998</v>
      </c>
      <c r="K318" s="32">
        <v>12</v>
      </c>
      <c r="L318" s="32"/>
      <c r="M318" s="4"/>
      <c r="N318" s="4"/>
      <c r="O318" s="32"/>
      <c r="P318" s="6" t="s">
        <v>74</v>
      </c>
      <c r="Q318" s="26" t="s">
        <v>1104</v>
      </c>
      <c r="R318" s="3" t="s">
        <v>424</v>
      </c>
      <c r="S318" s="3" t="s">
        <v>613</v>
      </c>
      <c r="T318" s="3" t="s">
        <v>49</v>
      </c>
      <c r="U318" s="3" t="s">
        <v>48</v>
      </c>
      <c r="V318" s="44" t="s">
        <v>450</v>
      </c>
      <c r="W318" s="3"/>
    </row>
    <row r="319" spans="1:42" s="2" customFormat="1" ht="14" x14ac:dyDescent="0.3">
      <c r="B319" s="3" t="s">
        <v>610</v>
      </c>
      <c r="C319" s="3" t="s">
        <v>611</v>
      </c>
      <c r="D319" s="3" t="s">
        <v>625</v>
      </c>
      <c r="E319" s="3" t="s">
        <v>82</v>
      </c>
      <c r="F319" s="3" t="s">
        <v>59</v>
      </c>
      <c r="G319" s="3"/>
      <c r="H319" s="32"/>
      <c r="I319" s="4">
        <v>1.32</v>
      </c>
      <c r="J319" s="4">
        <v>6.0999999999999999E-2</v>
      </c>
      <c r="K319" s="32">
        <v>7</v>
      </c>
      <c r="L319" s="32"/>
      <c r="M319" s="4">
        <v>1.44</v>
      </c>
      <c r="N319" s="4">
        <v>4.5999999999999999E-2</v>
      </c>
      <c r="O319" s="32"/>
      <c r="P319" s="6" t="s">
        <v>74</v>
      </c>
      <c r="Q319" s="26" t="s">
        <v>451</v>
      </c>
      <c r="R319" s="3" t="s">
        <v>424</v>
      </c>
      <c r="S319" s="3" t="s">
        <v>613</v>
      </c>
      <c r="T319" s="3" t="s">
        <v>49</v>
      </c>
      <c r="U319" s="3" t="s">
        <v>48</v>
      </c>
      <c r="V319" s="10" t="s">
        <v>628</v>
      </c>
      <c r="W319" s="3"/>
    </row>
    <row r="320" spans="1:42" s="2" customFormat="1" ht="14" x14ac:dyDescent="0.3">
      <c r="B320" s="3" t="s">
        <v>610</v>
      </c>
      <c r="C320" s="3" t="s">
        <v>611</v>
      </c>
      <c r="D320" s="3" t="s">
        <v>625</v>
      </c>
      <c r="E320" s="3" t="s">
        <v>82</v>
      </c>
      <c r="F320" s="3" t="s">
        <v>31</v>
      </c>
      <c r="G320" s="3" t="s">
        <v>54</v>
      </c>
      <c r="H320" s="32" t="s">
        <v>627</v>
      </c>
      <c r="I320" s="4">
        <v>1.82</v>
      </c>
      <c r="J320" s="4">
        <v>0.52</v>
      </c>
      <c r="K320" s="32">
        <v>55</v>
      </c>
      <c r="L320" s="32"/>
      <c r="M320" s="4"/>
      <c r="N320" s="4"/>
      <c r="O320" s="32"/>
      <c r="P320" s="3" t="s">
        <v>52</v>
      </c>
      <c r="Q320" s="26" t="s">
        <v>40</v>
      </c>
      <c r="R320" s="3" t="s">
        <v>51</v>
      </c>
      <c r="S320" s="3" t="s">
        <v>50</v>
      </c>
      <c r="T320" s="3" t="s">
        <v>49</v>
      </c>
      <c r="U320" s="3" t="s">
        <v>48</v>
      </c>
      <c r="V320" s="10" t="s">
        <v>47</v>
      </c>
      <c r="W320" s="3"/>
    </row>
    <row r="321" spans="1:42" s="2" customFormat="1" ht="14" x14ac:dyDescent="0.3">
      <c r="B321" s="3" t="s">
        <v>610</v>
      </c>
      <c r="C321" s="3" t="s">
        <v>611</v>
      </c>
      <c r="D321" s="3" t="s">
        <v>625</v>
      </c>
      <c r="E321" s="3" t="s">
        <v>82</v>
      </c>
      <c r="F321" s="3" t="s">
        <v>59</v>
      </c>
      <c r="G321" s="3" t="s">
        <v>54</v>
      </c>
      <c r="H321" s="32" t="s">
        <v>626</v>
      </c>
      <c r="I321" s="4">
        <v>1.88</v>
      </c>
      <c r="J321" s="4">
        <v>9.0000000000000011E-2</v>
      </c>
      <c r="K321" s="32">
        <v>47</v>
      </c>
      <c r="L321" s="32"/>
      <c r="M321" s="4"/>
      <c r="N321" s="4"/>
      <c r="O321" s="32"/>
      <c r="P321" s="3" t="s">
        <v>52</v>
      </c>
      <c r="Q321" s="26" t="s">
        <v>40</v>
      </c>
      <c r="R321" s="3" t="s">
        <v>51</v>
      </c>
      <c r="S321" s="3" t="s">
        <v>50</v>
      </c>
      <c r="T321" s="3" t="s">
        <v>49</v>
      </c>
      <c r="U321" s="3" t="s">
        <v>48</v>
      </c>
      <c r="V321" s="10" t="s">
        <v>47</v>
      </c>
      <c r="W321" s="3"/>
    </row>
    <row r="322" spans="1:42" s="2" customFormat="1" x14ac:dyDescent="0.35">
      <c r="B322" s="3" t="s">
        <v>610</v>
      </c>
      <c r="C322" s="3" t="s">
        <v>611</v>
      </c>
      <c r="D322" s="3" t="s">
        <v>625</v>
      </c>
      <c r="E322" s="3" t="s">
        <v>82</v>
      </c>
      <c r="F322" s="3" t="s">
        <v>31</v>
      </c>
      <c r="G322" s="2" t="s">
        <v>624</v>
      </c>
      <c r="H322" s="32"/>
      <c r="I322" s="4">
        <v>0.61</v>
      </c>
      <c r="J322" s="4">
        <v>0.28999999999999998</v>
      </c>
      <c r="K322" s="32">
        <v>22</v>
      </c>
      <c r="L322" s="32"/>
      <c r="M322" s="4"/>
      <c r="N322" s="4"/>
      <c r="O322" s="32"/>
      <c r="P322" s="3" t="s">
        <v>52</v>
      </c>
      <c r="Q322" s="26" t="s">
        <v>40</v>
      </c>
      <c r="R322" s="3" t="s">
        <v>51</v>
      </c>
      <c r="S322" s="3" t="s">
        <v>623</v>
      </c>
      <c r="T322" s="3" t="s">
        <v>49</v>
      </c>
      <c r="U322" s="3" t="s">
        <v>48</v>
      </c>
      <c r="V322" s="10" t="s">
        <v>622</v>
      </c>
      <c r="W322" s="3"/>
    </row>
    <row r="323" spans="1:42" s="2" customFormat="1" ht="14" x14ac:dyDescent="0.3">
      <c r="B323" s="3" t="s">
        <v>610</v>
      </c>
      <c r="C323" s="3" t="s">
        <v>611</v>
      </c>
      <c r="D323" s="3" t="s">
        <v>625</v>
      </c>
      <c r="E323" s="3" t="s">
        <v>82</v>
      </c>
      <c r="F323" s="3" t="s">
        <v>387</v>
      </c>
      <c r="G323" s="2" t="s">
        <v>1091</v>
      </c>
      <c r="H323" s="32" t="s">
        <v>1093</v>
      </c>
      <c r="I323" s="4">
        <f>AVERAGE(1.25,1.7)</f>
        <v>1.4750000000000001</v>
      </c>
      <c r="J323" s="4">
        <f>STDEV(1.25,1.7)/SQRT(2)</f>
        <v>0.22499999999999931</v>
      </c>
      <c r="K323" s="32">
        <v>10</v>
      </c>
      <c r="L323" s="32"/>
      <c r="M323" s="4"/>
      <c r="N323" s="4"/>
      <c r="O323" s="32"/>
      <c r="P323" s="6" t="s">
        <v>74</v>
      </c>
      <c r="Q323" s="26" t="s">
        <v>220</v>
      </c>
      <c r="R323" s="3" t="s">
        <v>424</v>
      </c>
      <c r="S323" s="3" t="s">
        <v>613</v>
      </c>
      <c r="T323" s="3" t="s">
        <v>49</v>
      </c>
      <c r="U323" s="3" t="s">
        <v>48</v>
      </c>
      <c r="V323" s="3" t="s">
        <v>1090</v>
      </c>
    </row>
    <row r="324" spans="1:42" s="2" customFormat="1" ht="14" x14ac:dyDescent="0.3">
      <c r="B324" s="3" t="s">
        <v>610</v>
      </c>
      <c r="C324" s="3" t="s">
        <v>611</v>
      </c>
      <c r="D324" s="3" t="s">
        <v>619</v>
      </c>
      <c r="E324" s="3" t="s">
        <v>82</v>
      </c>
      <c r="F324" s="3" t="s">
        <v>59</v>
      </c>
      <c r="G324" s="2" t="s">
        <v>306</v>
      </c>
      <c r="H324" s="32" t="s">
        <v>621</v>
      </c>
      <c r="I324" s="4">
        <v>0.86</v>
      </c>
      <c r="J324" s="4">
        <v>0.18</v>
      </c>
      <c r="K324" s="32">
        <v>20</v>
      </c>
      <c r="L324" s="32"/>
      <c r="M324" s="4"/>
      <c r="N324" s="4"/>
      <c r="O324" s="32"/>
      <c r="P324" s="3" t="s">
        <v>88</v>
      </c>
      <c r="Q324" s="26" t="s">
        <v>40</v>
      </c>
      <c r="R324" s="3" t="s">
        <v>39</v>
      </c>
      <c r="S324" s="3" t="s">
        <v>273</v>
      </c>
      <c r="T324" s="3"/>
      <c r="U324" s="3" t="s">
        <v>37</v>
      </c>
      <c r="V324" s="10" t="s">
        <v>1057</v>
      </c>
      <c r="W324" s="3"/>
    </row>
    <row r="325" spans="1:42" s="2" customFormat="1" ht="14" x14ac:dyDescent="0.3">
      <c r="B325" s="3" t="s">
        <v>610</v>
      </c>
      <c r="C325" s="3" t="s">
        <v>611</v>
      </c>
      <c r="D325" s="3" t="s">
        <v>619</v>
      </c>
      <c r="E325" s="3" t="s">
        <v>82</v>
      </c>
      <c r="F325" s="3" t="s">
        <v>304</v>
      </c>
      <c r="G325" s="2" t="s">
        <v>303</v>
      </c>
      <c r="H325" s="32" t="s">
        <v>620</v>
      </c>
      <c r="I325" s="4">
        <v>1.18</v>
      </c>
      <c r="J325" s="4">
        <v>0.17</v>
      </c>
      <c r="K325" s="32">
        <v>14</v>
      </c>
      <c r="L325" s="32"/>
      <c r="M325" s="4"/>
      <c r="N325" s="4"/>
      <c r="O325" s="32"/>
      <c r="P325" s="3" t="s">
        <v>88</v>
      </c>
      <c r="Q325" s="26" t="s">
        <v>40</v>
      </c>
      <c r="R325" s="3" t="s">
        <v>39</v>
      </c>
      <c r="S325" s="3" t="s">
        <v>273</v>
      </c>
      <c r="T325" s="3"/>
      <c r="U325" s="3" t="s">
        <v>37</v>
      </c>
      <c r="V325" s="44" t="s">
        <v>272</v>
      </c>
      <c r="W325" s="3"/>
    </row>
    <row r="326" spans="1:42" s="2" customFormat="1" ht="14" x14ac:dyDescent="0.3">
      <c r="B326" s="3" t="s">
        <v>610</v>
      </c>
      <c r="C326" s="3" t="s">
        <v>611</v>
      </c>
      <c r="D326" s="3" t="s">
        <v>619</v>
      </c>
      <c r="E326" s="3" t="s">
        <v>82</v>
      </c>
      <c r="F326" s="3" t="s">
        <v>304</v>
      </c>
      <c r="G326" s="2" t="s">
        <v>303</v>
      </c>
      <c r="H326" s="32" t="s">
        <v>618</v>
      </c>
      <c r="I326" s="4">
        <v>1.25</v>
      </c>
      <c r="J326" s="4">
        <v>0.25</v>
      </c>
      <c r="K326" s="32">
        <v>9</v>
      </c>
      <c r="L326" s="32"/>
      <c r="M326" s="4"/>
      <c r="N326" s="4"/>
      <c r="O326" s="32"/>
      <c r="P326" s="3" t="s">
        <v>88</v>
      </c>
      <c r="Q326" s="26" t="s">
        <v>40</v>
      </c>
      <c r="R326" s="3" t="s">
        <v>39</v>
      </c>
      <c r="S326" s="3" t="s">
        <v>399</v>
      </c>
      <c r="T326" s="3"/>
      <c r="U326" s="3" t="s">
        <v>37</v>
      </c>
      <c r="V326" s="44" t="s">
        <v>272</v>
      </c>
      <c r="W326" s="3"/>
    </row>
    <row r="327" spans="1:42" s="2" customFormat="1" ht="14" x14ac:dyDescent="0.3">
      <c r="B327" s="3" t="s">
        <v>610</v>
      </c>
      <c r="C327" s="3" t="s">
        <v>611</v>
      </c>
      <c r="D327" s="3" t="s">
        <v>614</v>
      </c>
      <c r="E327" s="3" t="s">
        <v>82</v>
      </c>
      <c r="F327" s="3" t="s">
        <v>31</v>
      </c>
      <c r="H327" s="32" t="s">
        <v>617</v>
      </c>
      <c r="I327" s="4">
        <v>0.83</v>
      </c>
      <c r="J327" s="4">
        <v>9.0999999999999998E-2</v>
      </c>
      <c r="K327" s="32">
        <v>11</v>
      </c>
      <c r="L327" s="32"/>
      <c r="M327" s="4"/>
      <c r="N327" s="4"/>
      <c r="O327" s="32"/>
      <c r="P327" s="6" t="s">
        <v>74</v>
      </c>
      <c r="Q327" s="26" t="s">
        <v>77</v>
      </c>
      <c r="R327" s="3" t="s">
        <v>51</v>
      </c>
      <c r="S327" s="3" t="s">
        <v>76</v>
      </c>
      <c r="T327" s="3" t="s">
        <v>1088</v>
      </c>
      <c r="U327" s="3" t="s">
        <v>48</v>
      </c>
      <c r="V327" s="10" t="s">
        <v>75</v>
      </c>
      <c r="W327" s="3"/>
    </row>
    <row r="328" spans="1:42" s="2" customFormat="1" ht="14" x14ac:dyDescent="0.3">
      <c r="B328" s="3" t="s">
        <v>610</v>
      </c>
      <c r="C328" s="3" t="s">
        <v>611</v>
      </c>
      <c r="D328" s="3" t="s">
        <v>614</v>
      </c>
      <c r="E328" s="3" t="s">
        <v>82</v>
      </c>
      <c r="F328" s="3" t="s">
        <v>329</v>
      </c>
      <c r="G328" s="3"/>
      <c r="H328" s="32" t="s">
        <v>616</v>
      </c>
      <c r="I328" s="4">
        <v>0.92</v>
      </c>
      <c r="J328" s="4"/>
      <c r="K328" s="32">
        <v>11</v>
      </c>
      <c r="L328" s="32" t="s">
        <v>615</v>
      </c>
      <c r="M328" s="4">
        <v>1.48</v>
      </c>
      <c r="N328" s="4"/>
      <c r="O328" s="32">
        <v>11</v>
      </c>
      <c r="P328" s="3" t="s">
        <v>68</v>
      </c>
      <c r="Q328" s="26" t="s">
        <v>77</v>
      </c>
      <c r="R328" s="3" t="s">
        <v>424</v>
      </c>
      <c r="S328" s="3" t="s">
        <v>423</v>
      </c>
      <c r="T328" s="3" t="s">
        <v>1088</v>
      </c>
      <c r="U328" s="3" t="s">
        <v>48</v>
      </c>
      <c r="V328" s="29" t="s">
        <v>421</v>
      </c>
      <c r="W328" s="3"/>
    </row>
    <row r="329" spans="1:42" s="2" customFormat="1" ht="14" x14ac:dyDescent="0.3">
      <c r="B329" s="3" t="s">
        <v>610</v>
      </c>
      <c r="C329" s="3" t="s">
        <v>611</v>
      </c>
      <c r="D329" s="3" t="s">
        <v>614</v>
      </c>
      <c r="E329" s="3" t="s">
        <v>82</v>
      </c>
      <c r="F329" s="3" t="s">
        <v>1087</v>
      </c>
      <c r="G329" s="3"/>
      <c r="H329" s="32" t="s">
        <v>1089</v>
      </c>
      <c r="I329" s="4">
        <v>0.9</v>
      </c>
      <c r="J329" s="4"/>
      <c r="K329" s="32">
        <v>15</v>
      </c>
      <c r="L329" s="32"/>
      <c r="M329" s="4"/>
      <c r="N329" s="4"/>
      <c r="O329" s="32"/>
      <c r="Q329" s="37" t="s">
        <v>77</v>
      </c>
      <c r="R329" s="3" t="s">
        <v>424</v>
      </c>
      <c r="S329" s="3" t="s">
        <v>423</v>
      </c>
      <c r="T329" s="3" t="s">
        <v>1088</v>
      </c>
      <c r="U329" s="3" t="s">
        <v>48</v>
      </c>
      <c r="V329" s="3" t="s">
        <v>1086</v>
      </c>
      <c r="W329" s="3"/>
    </row>
    <row r="330" spans="1:42" s="2" customFormat="1" ht="14" x14ac:dyDescent="0.3">
      <c r="B330" s="3" t="s">
        <v>610</v>
      </c>
      <c r="C330" s="3" t="s">
        <v>611</v>
      </c>
      <c r="D330" s="3" t="s">
        <v>614</v>
      </c>
      <c r="E330" s="3" t="s">
        <v>82</v>
      </c>
      <c r="F330" s="3" t="s">
        <v>31</v>
      </c>
      <c r="G330" s="3" t="s">
        <v>1114</v>
      </c>
      <c r="H330" s="32" t="s">
        <v>1116</v>
      </c>
      <c r="I330" s="4">
        <f>AVERAGE(1.325,1.133)</f>
        <v>1.2290000000000001</v>
      </c>
      <c r="J330" s="4">
        <f>AVERAGE(0.111,0.301)</f>
        <v>0.20599999999999999</v>
      </c>
      <c r="K330" s="32">
        <v>12</v>
      </c>
      <c r="L330" s="32"/>
      <c r="M330" s="4"/>
      <c r="N330" s="4"/>
      <c r="O330" s="32"/>
      <c r="P330" s="6" t="s">
        <v>74</v>
      </c>
      <c r="Q330" s="26" t="s">
        <v>1104</v>
      </c>
      <c r="R330" s="3" t="s">
        <v>424</v>
      </c>
      <c r="S330" s="3" t="s">
        <v>613</v>
      </c>
      <c r="T330" s="3" t="s">
        <v>49</v>
      </c>
      <c r="U330" s="3" t="s">
        <v>48</v>
      </c>
      <c r="V330" s="44" t="s">
        <v>450</v>
      </c>
      <c r="W330" s="3"/>
    </row>
    <row r="331" spans="1:42" s="2" customFormat="1" ht="14" x14ac:dyDescent="0.3">
      <c r="B331" s="3" t="s">
        <v>610</v>
      </c>
      <c r="C331" s="3" t="s">
        <v>611</v>
      </c>
      <c r="D331" s="3" t="s">
        <v>614</v>
      </c>
      <c r="E331" s="3" t="s">
        <v>82</v>
      </c>
      <c r="F331" s="3" t="s">
        <v>59</v>
      </c>
      <c r="G331" s="3"/>
      <c r="H331" s="32"/>
      <c r="I331" s="4">
        <v>0.85</v>
      </c>
      <c r="J331" s="4">
        <v>0.03</v>
      </c>
      <c r="K331" s="32">
        <v>7</v>
      </c>
      <c r="L331" s="32"/>
      <c r="M331" s="4">
        <v>1.75</v>
      </c>
      <c r="N331" s="4">
        <v>5.7000000000000002E-2</v>
      </c>
      <c r="O331" s="32"/>
      <c r="P331" s="6" t="s">
        <v>74</v>
      </c>
      <c r="Q331" s="26" t="s">
        <v>451</v>
      </c>
      <c r="R331" s="3" t="s">
        <v>424</v>
      </c>
      <c r="S331" s="3" t="s">
        <v>613</v>
      </c>
      <c r="T331" s="3" t="s">
        <v>49</v>
      </c>
      <c r="U331" s="3" t="s">
        <v>48</v>
      </c>
      <c r="V331" s="10" t="s">
        <v>612</v>
      </c>
      <c r="W331" s="3"/>
    </row>
    <row r="332" spans="1:42" s="2" customFormat="1" ht="14" x14ac:dyDescent="0.3">
      <c r="B332" s="3" t="s">
        <v>610</v>
      </c>
      <c r="C332" s="3" t="s">
        <v>611</v>
      </c>
      <c r="D332" s="3" t="s">
        <v>614</v>
      </c>
      <c r="E332" s="3" t="s">
        <v>82</v>
      </c>
      <c r="F332" s="3" t="s">
        <v>387</v>
      </c>
      <c r="G332" s="3" t="s">
        <v>1091</v>
      </c>
      <c r="H332" s="32" t="s">
        <v>1092</v>
      </c>
      <c r="I332" s="4">
        <f>AVERAGE(0.9,1.45)</f>
        <v>1.175</v>
      </c>
      <c r="J332" s="4">
        <f>STDEV(0.9,1.45)/SQRT(2)</f>
        <v>0.27499999999999969</v>
      </c>
      <c r="K332" s="32">
        <v>10</v>
      </c>
      <c r="L332" s="32"/>
      <c r="M332" s="4"/>
      <c r="N332" s="4"/>
      <c r="O332" s="32"/>
      <c r="P332" s="6" t="s">
        <v>74</v>
      </c>
      <c r="Q332" s="26" t="s">
        <v>220</v>
      </c>
      <c r="R332" s="3" t="s">
        <v>424</v>
      </c>
      <c r="S332" s="3" t="s">
        <v>613</v>
      </c>
      <c r="T332" s="3" t="s">
        <v>49</v>
      </c>
      <c r="U332" s="3" t="s">
        <v>48</v>
      </c>
      <c r="V332" s="3" t="s">
        <v>1090</v>
      </c>
    </row>
    <row r="333" spans="1:42" s="7" customFormat="1" ht="14" x14ac:dyDescent="0.3">
      <c r="A333" s="7" t="s">
        <v>968</v>
      </c>
      <c r="C333" s="7" t="s">
        <v>611</v>
      </c>
      <c r="E333" s="7" t="s">
        <v>82</v>
      </c>
      <c r="H333" s="33"/>
      <c r="I333" s="8">
        <f>AVERAGE(I315:I332)</f>
        <v>1.1721111111111111</v>
      </c>
      <c r="J333" s="8">
        <f>STDEV((I315:I332))/SQRT(COUNT(I315:I332))</f>
        <v>9.0910998956671582E-2</v>
      </c>
      <c r="K333" s="33"/>
      <c r="L333" s="33"/>
      <c r="M333" s="8">
        <f>AVERAGE(M315:M332)</f>
        <v>1.6440000000000001</v>
      </c>
      <c r="N333" s="8">
        <f>STDEV((M315:M332))/SQRT(COUNT(M315:M332))</f>
        <v>8.016233529532435E-2</v>
      </c>
      <c r="O333" s="33"/>
      <c r="Q333" s="38"/>
      <c r="V333" s="13"/>
    </row>
    <row r="334" spans="1:42" x14ac:dyDescent="0.35">
      <c r="A334" s="2"/>
      <c r="B334" s="2" t="s">
        <v>461</v>
      </c>
      <c r="C334" s="2" t="s">
        <v>970</v>
      </c>
      <c r="D334" s="2" t="s">
        <v>1741</v>
      </c>
      <c r="E334" s="2" t="s">
        <v>1589</v>
      </c>
      <c r="F334" s="2" t="s">
        <v>1483</v>
      </c>
      <c r="G334" s="2"/>
      <c r="H334" s="34"/>
      <c r="I334" s="5"/>
      <c r="J334" s="5"/>
      <c r="K334" s="34"/>
      <c r="L334" s="34"/>
      <c r="M334" s="5">
        <v>1.33</v>
      </c>
      <c r="N334" s="5">
        <v>0.25</v>
      </c>
      <c r="O334" s="34">
        <v>48</v>
      </c>
      <c r="P334" s="2"/>
      <c r="Q334" s="39"/>
      <c r="R334" s="2" t="s">
        <v>502</v>
      </c>
      <c r="S334" s="2" t="s">
        <v>1734</v>
      </c>
      <c r="T334" s="2"/>
      <c r="U334" s="2" t="s">
        <v>13</v>
      </c>
      <c r="V334" s="44" t="s">
        <v>1735</v>
      </c>
      <c r="W334" s="2"/>
    </row>
    <row r="335" spans="1:42" s="2" customFormat="1" ht="14" x14ac:dyDescent="0.3">
      <c r="B335" s="2" t="s">
        <v>461</v>
      </c>
      <c r="C335" s="2" t="s">
        <v>1601</v>
      </c>
      <c r="D335" s="2" t="s">
        <v>1602</v>
      </c>
      <c r="E335" s="2" t="s">
        <v>1589</v>
      </c>
      <c r="F335" s="2" t="s">
        <v>1483</v>
      </c>
      <c r="H335" s="34"/>
      <c r="I335" s="5"/>
      <c r="J335" s="5"/>
      <c r="K335" s="34"/>
      <c r="L335" s="34" t="s">
        <v>1603</v>
      </c>
      <c r="M335" s="5">
        <v>0.89279376591404913</v>
      </c>
      <c r="N335" s="5"/>
      <c r="O335" s="34"/>
      <c r="P335" s="251" t="s">
        <v>1484</v>
      </c>
      <c r="Q335" s="252" t="s">
        <v>87</v>
      </c>
      <c r="R335" s="252" t="s">
        <v>502</v>
      </c>
      <c r="S335" s="251" t="s">
        <v>1485</v>
      </c>
      <c r="T335" s="251" t="s">
        <v>1486</v>
      </c>
      <c r="U335" s="251" t="s">
        <v>13</v>
      </c>
      <c r="V335" s="286" t="s">
        <v>1487</v>
      </c>
      <c r="W335" s="286"/>
      <c r="X335" s="286"/>
      <c r="Y335" s="286"/>
      <c r="Z335" s="286"/>
      <c r="AA335" s="286"/>
      <c r="AB335" s="286"/>
      <c r="AC335" s="286"/>
      <c r="AD335" s="286"/>
      <c r="AE335" s="286"/>
      <c r="AF335" s="286"/>
      <c r="AG335" s="286"/>
      <c r="AH335" s="286"/>
      <c r="AI335" s="286"/>
      <c r="AJ335" s="286"/>
      <c r="AK335" s="286"/>
      <c r="AL335" s="286"/>
      <c r="AM335" s="286"/>
      <c r="AN335" s="286"/>
      <c r="AO335" s="286"/>
      <c r="AP335" s="286"/>
    </row>
    <row r="336" spans="1:42" s="2" customFormat="1" ht="14" x14ac:dyDescent="0.3">
      <c r="B336" s="2" t="s">
        <v>461</v>
      </c>
      <c r="C336" s="2" t="s">
        <v>970</v>
      </c>
      <c r="D336" s="2" t="s">
        <v>1605</v>
      </c>
      <c r="E336" s="2" t="s">
        <v>1589</v>
      </c>
      <c r="F336" s="2" t="s">
        <v>1483</v>
      </c>
      <c r="H336" s="34"/>
      <c r="I336" s="5"/>
      <c r="J336" s="5"/>
      <c r="K336" s="34"/>
      <c r="L336" s="34" t="s">
        <v>1604</v>
      </c>
      <c r="M336" s="5">
        <v>1.2517734904318418</v>
      </c>
      <c r="N336" s="5"/>
      <c r="O336" s="34"/>
      <c r="P336" s="251" t="s">
        <v>1484</v>
      </c>
      <c r="Q336" s="252" t="s">
        <v>87</v>
      </c>
      <c r="R336" s="252" t="s">
        <v>502</v>
      </c>
      <c r="S336" s="251" t="s">
        <v>1485</v>
      </c>
      <c r="T336" s="251" t="s">
        <v>1486</v>
      </c>
      <c r="U336" s="251" t="s">
        <v>13</v>
      </c>
      <c r="V336" s="286" t="s">
        <v>1487</v>
      </c>
      <c r="W336" s="286"/>
      <c r="X336" s="286"/>
      <c r="Y336" s="286"/>
      <c r="Z336" s="286"/>
      <c r="AA336" s="286"/>
      <c r="AB336" s="286"/>
      <c r="AC336" s="286"/>
      <c r="AD336" s="286"/>
      <c r="AE336" s="286"/>
      <c r="AF336" s="286"/>
      <c r="AG336" s="286"/>
      <c r="AH336" s="286"/>
      <c r="AI336" s="286"/>
      <c r="AJ336" s="286"/>
      <c r="AK336" s="286"/>
      <c r="AL336" s="286"/>
      <c r="AM336" s="286"/>
      <c r="AN336" s="286"/>
      <c r="AO336" s="286"/>
      <c r="AP336" s="286"/>
    </row>
    <row r="337" spans="1:42" s="7" customFormat="1" ht="14" x14ac:dyDescent="0.3">
      <c r="A337" s="7" t="s">
        <v>1785</v>
      </c>
      <c r="C337" s="7" t="s">
        <v>970</v>
      </c>
      <c r="E337" s="7" t="s">
        <v>1740</v>
      </c>
      <c r="H337" s="33"/>
      <c r="I337" s="8"/>
      <c r="J337" s="8"/>
      <c r="K337" s="33"/>
      <c r="L337" s="33"/>
      <c r="M337" s="8">
        <f>AVERAGE(M334:M336)</f>
        <v>1.1581890854486303</v>
      </c>
      <c r="N337" s="8">
        <f>STDEV(M334:M336)/SQRT(COUNT(M334:M336))</f>
        <v>0.13460541522409203</v>
      </c>
      <c r="O337" s="33"/>
      <c r="Q337" s="38"/>
      <c r="V337" s="13"/>
    </row>
    <row r="338" spans="1:42" s="2" customFormat="1" ht="14" x14ac:dyDescent="0.3">
      <c r="B338" s="2" t="s">
        <v>461</v>
      </c>
      <c r="C338" s="2" t="s">
        <v>462</v>
      </c>
      <c r="D338" s="2" t="s">
        <v>496</v>
      </c>
      <c r="E338" s="2" t="s">
        <v>82</v>
      </c>
      <c r="F338" s="2" t="s">
        <v>70</v>
      </c>
      <c r="H338" s="34"/>
      <c r="I338" s="5">
        <v>2.2000000000000002</v>
      </c>
      <c r="J338" s="5">
        <v>0.1</v>
      </c>
      <c r="K338" s="34"/>
      <c r="L338" s="34"/>
      <c r="M338" s="5"/>
      <c r="N338" s="5"/>
      <c r="O338" s="34"/>
      <c r="P338" s="11" t="s">
        <v>68</v>
      </c>
      <c r="Q338" s="39" t="s">
        <v>67</v>
      </c>
      <c r="R338" s="2" t="s">
        <v>495</v>
      </c>
      <c r="S338" s="2" t="s">
        <v>494</v>
      </c>
      <c r="U338" s="2" t="s">
        <v>37</v>
      </c>
      <c r="V338" s="44" t="s">
        <v>64</v>
      </c>
    </row>
    <row r="339" spans="1:42" s="2" customFormat="1" ht="14" x14ac:dyDescent="0.3">
      <c r="B339" s="2" t="s">
        <v>461</v>
      </c>
      <c r="C339" s="2" t="s">
        <v>462</v>
      </c>
      <c r="D339" s="2" t="s">
        <v>493</v>
      </c>
      <c r="E339" s="2" t="s">
        <v>82</v>
      </c>
      <c r="F339" s="2" t="s">
        <v>70</v>
      </c>
      <c r="H339" s="34" t="s">
        <v>1136</v>
      </c>
      <c r="I339" s="5">
        <v>0.70833333333333337</v>
      </c>
      <c r="J339" s="5">
        <v>0.11814539065631552</v>
      </c>
      <c r="K339" s="34">
        <v>3</v>
      </c>
      <c r="L339" s="34"/>
      <c r="M339" s="5"/>
      <c r="N339" s="5"/>
      <c r="O339" s="34"/>
      <c r="P339" s="11" t="s">
        <v>74</v>
      </c>
      <c r="Q339" s="39" t="s">
        <v>16</v>
      </c>
      <c r="R339" s="2" t="s">
        <v>66</v>
      </c>
      <c r="S339" s="2" t="s">
        <v>65</v>
      </c>
      <c r="U339" s="2" t="s">
        <v>37</v>
      </c>
      <c r="V339" s="44" t="s">
        <v>72</v>
      </c>
    </row>
    <row r="340" spans="1:42" s="2" customFormat="1" ht="14" x14ac:dyDescent="0.3">
      <c r="B340" s="2" t="s">
        <v>461</v>
      </c>
      <c r="C340" s="2" t="s">
        <v>462</v>
      </c>
      <c r="D340" s="2" t="s">
        <v>493</v>
      </c>
      <c r="E340" s="2" t="s">
        <v>82</v>
      </c>
      <c r="F340" s="2" t="s">
        <v>1483</v>
      </c>
      <c r="H340" s="34"/>
      <c r="I340" s="5"/>
      <c r="J340" s="5"/>
      <c r="K340" s="34"/>
      <c r="L340" s="34" t="s">
        <v>1607</v>
      </c>
      <c r="M340" s="5">
        <v>1.0507510040158952</v>
      </c>
      <c r="N340" s="5"/>
      <c r="O340" s="34"/>
      <c r="P340" s="251" t="s">
        <v>1484</v>
      </c>
      <c r="Q340" s="252" t="s">
        <v>87</v>
      </c>
      <c r="R340" s="252" t="s">
        <v>502</v>
      </c>
      <c r="S340" s="251" t="s">
        <v>1485</v>
      </c>
      <c r="T340" s="251" t="s">
        <v>1486</v>
      </c>
      <c r="U340" s="251" t="s">
        <v>13</v>
      </c>
      <c r="V340" s="286" t="s">
        <v>1487</v>
      </c>
      <c r="W340" s="286"/>
      <c r="X340" s="286"/>
      <c r="Y340" s="286"/>
      <c r="Z340" s="286"/>
      <c r="AA340" s="286"/>
      <c r="AB340" s="286"/>
      <c r="AC340" s="286"/>
      <c r="AD340" s="286"/>
      <c r="AE340" s="286"/>
      <c r="AF340" s="286"/>
      <c r="AG340" s="286"/>
      <c r="AH340" s="286"/>
      <c r="AI340" s="286"/>
      <c r="AJ340" s="286"/>
      <c r="AK340" s="286"/>
      <c r="AL340" s="286"/>
      <c r="AM340" s="286"/>
      <c r="AN340" s="286"/>
      <c r="AO340" s="286"/>
      <c r="AP340" s="286"/>
    </row>
    <row r="341" spans="1:42" s="2" customFormat="1" ht="14" x14ac:dyDescent="0.3">
      <c r="B341" s="2" t="s">
        <v>461</v>
      </c>
      <c r="C341" s="2" t="s">
        <v>462</v>
      </c>
      <c r="D341" s="2" t="s">
        <v>1606</v>
      </c>
      <c r="E341" s="2" t="s">
        <v>82</v>
      </c>
      <c r="F341" s="2" t="s">
        <v>1483</v>
      </c>
      <c r="H341" s="34"/>
      <c r="I341" s="5"/>
      <c r="J341" s="5"/>
      <c r="K341" s="34"/>
      <c r="L341" s="34" t="s">
        <v>1608</v>
      </c>
      <c r="M341" s="5">
        <v>0.95728499461408023</v>
      </c>
      <c r="N341" s="5"/>
      <c r="O341" s="34"/>
      <c r="P341" s="251" t="s">
        <v>1484</v>
      </c>
      <c r="Q341" s="252" t="s">
        <v>87</v>
      </c>
      <c r="R341" s="252" t="s">
        <v>502</v>
      </c>
      <c r="S341" s="251" t="s">
        <v>1485</v>
      </c>
      <c r="T341" s="251" t="s">
        <v>1486</v>
      </c>
      <c r="U341" s="251" t="s">
        <v>13</v>
      </c>
      <c r="V341" s="286" t="s">
        <v>1487</v>
      </c>
      <c r="W341" s="286"/>
      <c r="X341" s="286"/>
      <c r="Y341" s="286"/>
      <c r="Z341" s="286"/>
      <c r="AA341" s="286"/>
      <c r="AB341" s="286"/>
      <c r="AC341" s="286"/>
      <c r="AD341" s="286"/>
      <c r="AE341" s="286"/>
      <c r="AF341" s="286"/>
      <c r="AG341" s="286"/>
      <c r="AH341" s="286"/>
      <c r="AI341" s="286"/>
      <c r="AJ341" s="286"/>
      <c r="AK341" s="286"/>
      <c r="AL341" s="286"/>
      <c r="AM341" s="286"/>
      <c r="AN341" s="286"/>
      <c r="AO341" s="286"/>
      <c r="AP341" s="286"/>
    </row>
    <row r="342" spans="1:42" s="2" customFormat="1" ht="14" x14ac:dyDescent="0.3">
      <c r="B342" s="2" t="s">
        <v>461</v>
      </c>
      <c r="C342" s="2" t="s">
        <v>462</v>
      </c>
      <c r="D342" s="2" t="s">
        <v>490</v>
      </c>
      <c r="E342" s="2" t="s">
        <v>82</v>
      </c>
      <c r="F342" s="2" t="s">
        <v>59</v>
      </c>
      <c r="H342" s="34" t="s">
        <v>492</v>
      </c>
      <c r="I342" s="5">
        <v>0.64</v>
      </c>
      <c r="J342" s="5">
        <v>0.11</v>
      </c>
      <c r="K342" s="34">
        <v>19</v>
      </c>
      <c r="L342" s="34"/>
      <c r="M342" s="5"/>
      <c r="N342" s="5"/>
      <c r="O342" s="34"/>
      <c r="P342" s="11" t="s">
        <v>74</v>
      </c>
      <c r="Q342" s="39" t="s">
        <v>103</v>
      </c>
      <c r="R342" s="2" t="s">
        <v>4</v>
      </c>
      <c r="S342" s="2" t="s">
        <v>491</v>
      </c>
      <c r="U342" s="2" t="s">
        <v>1215</v>
      </c>
      <c r="V342" s="44" t="s">
        <v>487</v>
      </c>
    </row>
    <row r="343" spans="1:42" s="2" customFormat="1" ht="14" x14ac:dyDescent="0.3">
      <c r="B343" s="2" t="s">
        <v>461</v>
      </c>
      <c r="C343" s="2" t="s">
        <v>462</v>
      </c>
      <c r="D343" s="2" t="s">
        <v>490</v>
      </c>
      <c r="E343" s="2" t="s">
        <v>82</v>
      </c>
      <c r="F343" s="2" t="s">
        <v>59</v>
      </c>
      <c r="H343" s="34" t="s">
        <v>489</v>
      </c>
      <c r="I343" s="5">
        <v>0.68</v>
      </c>
      <c r="J343" s="5">
        <v>0.16</v>
      </c>
      <c r="K343" s="34">
        <v>19</v>
      </c>
      <c r="L343" s="34"/>
      <c r="M343" s="5"/>
      <c r="N343" s="5"/>
      <c r="O343" s="34"/>
      <c r="P343" s="11" t="s">
        <v>74</v>
      </c>
      <c r="Q343" s="39" t="s">
        <v>103</v>
      </c>
      <c r="R343" s="2" t="s">
        <v>4</v>
      </c>
      <c r="S343" s="2" t="s">
        <v>488</v>
      </c>
      <c r="U343" s="2" t="s">
        <v>1215</v>
      </c>
      <c r="V343" s="44" t="s">
        <v>487</v>
      </c>
    </row>
    <row r="344" spans="1:42" x14ac:dyDescent="0.35">
      <c r="A344" s="2"/>
      <c r="B344" s="2" t="s">
        <v>461</v>
      </c>
      <c r="C344" s="2" t="s">
        <v>462</v>
      </c>
      <c r="D344" s="2" t="s">
        <v>490</v>
      </c>
      <c r="E344" s="2" t="s">
        <v>82</v>
      </c>
      <c r="F344" s="2" t="s">
        <v>1483</v>
      </c>
      <c r="G344" s="2"/>
      <c r="H344" s="34"/>
      <c r="I344" s="5"/>
      <c r="J344" s="5"/>
      <c r="K344" s="34"/>
      <c r="L344" s="34"/>
      <c r="M344" s="5">
        <v>0.99</v>
      </c>
      <c r="N344" s="5">
        <v>0.11</v>
      </c>
      <c r="O344" s="34">
        <v>44</v>
      </c>
      <c r="P344" s="2"/>
      <c r="Q344" s="39"/>
      <c r="R344" s="2" t="s">
        <v>502</v>
      </c>
      <c r="S344" s="2" t="s">
        <v>1734</v>
      </c>
      <c r="T344" s="2"/>
      <c r="U344" s="2" t="s">
        <v>13</v>
      </c>
      <c r="V344" s="44" t="s">
        <v>1735</v>
      </c>
      <c r="W344" s="2"/>
    </row>
    <row r="345" spans="1:42" s="2" customFormat="1" ht="14" x14ac:dyDescent="0.3">
      <c r="B345" s="2" t="s">
        <v>461</v>
      </c>
      <c r="C345" s="2" t="s">
        <v>462</v>
      </c>
      <c r="D345" s="2" t="s">
        <v>90</v>
      </c>
      <c r="E345" s="2" t="s">
        <v>82</v>
      </c>
      <c r="F345" s="2" t="s">
        <v>59</v>
      </c>
      <c r="H345" s="34"/>
      <c r="I345" s="5">
        <v>0.7</v>
      </c>
      <c r="J345" s="5"/>
      <c r="K345" s="34">
        <v>1</v>
      </c>
      <c r="L345" s="34"/>
      <c r="M345" s="5"/>
      <c r="N345" s="5"/>
      <c r="O345" s="34"/>
      <c r="P345" s="11" t="s">
        <v>68</v>
      </c>
      <c r="Q345" s="39" t="s">
        <v>466</v>
      </c>
      <c r="R345" s="2" t="s">
        <v>486</v>
      </c>
      <c r="U345" s="2" t="s">
        <v>24</v>
      </c>
      <c r="V345" s="44" t="s">
        <v>464</v>
      </c>
    </row>
    <row r="346" spans="1:42" s="2" customFormat="1" ht="14" x14ac:dyDescent="0.3">
      <c r="B346" s="2" t="s">
        <v>461</v>
      </c>
      <c r="C346" s="2" t="s">
        <v>462</v>
      </c>
      <c r="D346" s="2" t="s">
        <v>90</v>
      </c>
      <c r="E346" s="2" t="s">
        <v>82</v>
      </c>
      <c r="F346" s="2" t="s">
        <v>59</v>
      </c>
      <c r="H346" s="34"/>
      <c r="I346" s="5">
        <v>0.78</v>
      </c>
      <c r="J346" s="5"/>
      <c r="K346" s="34">
        <v>1</v>
      </c>
      <c r="L346" s="34"/>
      <c r="M346" s="5"/>
      <c r="N346" s="5"/>
      <c r="O346" s="34"/>
      <c r="P346" s="11" t="s">
        <v>68</v>
      </c>
      <c r="Q346" s="39" t="s">
        <v>466</v>
      </c>
      <c r="R346" s="2" t="s">
        <v>39</v>
      </c>
      <c r="S346" s="2" t="s">
        <v>485</v>
      </c>
      <c r="U346" s="2" t="s">
        <v>37</v>
      </c>
      <c r="V346" s="44" t="s">
        <v>464</v>
      </c>
    </row>
    <row r="347" spans="1:42" s="2" customFormat="1" ht="14" x14ac:dyDescent="0.3">
      <c r="B347" s="2" t="s">
        <v>461</v>
      </c>
      <c r="C347" s="2" t="s">
        <v>462</v>
      </c>
      <c r="D347" s="2" t="s">
        <v>90</v>
      </c>
      <c r="E347" s="2" t="s">
        <v>82</v>
      </c>
      <c r="F347" s="2" t="s">
        <v>59</v>
      </c>
      <c r="H347" s="34"/>
      <c r="I347" s="5">
        <v>0.63</v>
      </c>
      <c r="J347" s="5"/>
      <c r="K347" s="34">
        <v>1</v>
      </c>
      <c r="L347" s="34"/>
      <c r="M347" s="5"/>
      <c r="N347" s="5"/>
      <c r="O347" s="34"/>
      <c r="P347" s="11" t="s">
        <v>68</v>
      </c>
      <c r="Q347" s="39" t="s">
        <v>466</v>
      </c>
      <c r="R347" s="2" t="s">
        <v>4</v>
      </c>
      <c r="S347" s="2" t="s">
        <v>484</v>
      </c>
      <c r="U347" s="2" t="s">
        <v>1215</v>
      </c>
      <c r="V347" s="44" t="s">
        <v>464</v>
      </c>
    </row>
    <row r="348" spans="1:42" s="2" customFormat="1" ht="14" x14ac:dyDescent="0.3">
      <c r="B348" s="2" t="s">
        <v>461</v>
      </c>
      <c r="C348" s="3" t="s">
        <v>462</v>
      </c>
      <c r="D348" s="3" t="s">
        <v>90</v>
      </c>
      <c r="E348" s="3" t="s">
        <v>82</v>
      </c>
      <c r="F348" s="3" t="s">
        <v>59</v>
      </c>
      <c r="G348" s="3"/>
      <c r="H348" s="32"/>
      <c r="I348" s="4">
        <v>0.49</v>
      </c>
      <c r="J348" s="4">
        <v>7.5999999999999998E-2</v>
      </c>
      <c r="K348" s="32">
        <v>5</v>
      </c>
      <c r="L348" s="32"/>
      <c r="M348" s="4"/>
      <c r="N348" s="4"/>
      <c r="O348" s="32"/>
      <c r="P348" s="6" t="s">
        <v>68</v>
      </c>
      <c r="Q348" s="26" t="s">
        <v>466</v>
      </c>
      <c r="R348" s="3" t="s">
        <v>4</v>
      </c>
      <c r="S348" s="3" t="s">
        <v>483</v>
      </c>
      <c r="T348" s="3"/>
      <c r="U348" s="3" t="s">
        <v>1215</v>
      </c>
      <c r="V348" s="10" t="s">
        <v>464</v>
      </c>
      <c r="W348" s="3"/>
    </row>
    <row r="349" spans="1:42" s="2" customFormat="1" ht="14" x14ac:dyDescent="0.3">
      <c r="B349" s="2" t="s">
        <v>461</v>
      </c>
      <c r="C349" s="3" t="s">
        <v>462</v>
      </c>
      <c r="D349" s="3" t="s">
        <v>90</v>
      </c>
      <c r="E349" s="3" t="s">
        <v>82</v>
      </c>
      <c r="F349" s="3" t="s">
        <v>59</v>
      </c>
      <c r="G349" s="3"/>
      <c r="H349" s="32"/>
      <c r="I349" s="4">
        <v>0.94</v>
      </c>
      <c r="J349" s="4">
        <v>0.26</v>
      </c>
      <c r="K349" s="32">
        <v>6</v>
      </c>
      <c r="L349" s="32"/>
      <c r="M349" s="4"/>
      <c r="N349" s="4"/>
      <c r="O349" s="32"/>
      <c r="P349" s="6" t="s">
        <v>68</v>
      </c>
      <c r="Q349" s="26" t="s">
        <v>466</v>
      </c>
      <c r="R349" s="3" t="s">
        <v>482</v>
      </c>
      <c r="S349" s="3" t="s">
        <v>481</v>
      </c>
      <c r="T349" s="3"/>
      <c r="U349" s="3" t="s">
        <v>242</v>
      </c>
      <c r="V349" s="10" t="s">
        <v>464</v>
      </c>
      <c r="W349" s="3"/>
    </row>
    <row r="350" spans="1:42" s="2" customFormat="1" ht="14" x14ac:dyDescent="0.3">
      <c r="B350" s="2" t="s">
        <v>461</v>
      </c>
      <c r="C350" s="3" t="s">
        <v>462</v>
      </c>
      <c r="D350" s="3" t="s">
        <v>90</v>
      </c>
      <c r="E350" s="3" t="s">
        <v>82</v>
      </c>
      <c r="F350" s="3" t="s">
        <v>59</v>
      </c>
      <c r="G350" s="3"/>
      <c r="H350" s="32"/>
      <c r="I350" s="4">
        <v>0.83</v>
      </c>
      <c r="J350" s="4">
        <v>0.11</v>
      </c>
      <c r="K350" s="32">
        <v>9</v>
      </c>
      <c r="L350" s="32"/>
      <c r="M350" s="4"/>
      <c r="N350" s="4"/>
      <c r="O350" s="32"/>
      <c r="P350" s="6" t="s">
        <v>68</v>
      </c>
      <c r="Q350" s="26" t="s">
        <v>466</v>
      </c>
      <c r="R350" s="3" t="s">
        <v>480</v>
      </c>
      <c r="S350" s="3" t="s">
        <v>479</v>
      </c>
      <c r="T350" s="3"/>
      <c r="U350" s="3" t="s">
        <v>242</v>
      </c>
      <c r="V350" s="10" t="s">
        <v>464</v>
      </c>
      <c r="W350" s="3"/>
    </row>
    <row r="351" spans="1:42" s="2" customFormat="1" ht="14" x14ac:dyDescent="0.3">
      <c r="B351" s="2" t="s">
        <v>461</v>
      </c>
      <c r="C351" s="3" t="s">
        <v>462</v>
      </c>
      <c r="D351" s="3" t="s">
        <v>90</v>
      </c>
      <c r="E351" s="3" t="s">
        <v>82</v>
      </c>
      <c r="F351" s="3" t="s">
        <v>59</v>
      </c>
      <c r="G351" s="3"/>
      <c r="H351" s="32" t="s">
        <v>478</v>
      </c>
      <c r="I351" s="4">
        <v>1.03</v>
      </c>
      <c r="J351" s="4"/>
      <c r="K351" s="32">
        <v>2</v>
      </c>
      <c r="L351" s="32"/>
      <c r="M351" s="4"/>
      <c r="N351" s="4"/>
      <c r="O351" s="32"/>
      <c r="P351" s="6" t="s">
        <v>68</v>
      </c>
      <c r="Q351" s="26" t="s">
        <v>466</v>
      </c>
      <c r="R351" s="3" t="s">
        <v>470</v>
      </c>
      <c r="S351" s="3" t="s">
        <v>477</v>
      </c>
      <c r="T351" s="3"/>
      <c r="U351" s="3" t="s">
        <v>85</v>
      </c>
      <c r="V351" s="10" t="s">
        <v>464</v>
      </c>
      <c r="W351" s="3"/>
    </row>
    <row r="352" spans="1:42" s="2" customFormat="1" ht="14" x14ac:dyDescent="0.3">
      <c r="B352" s="2" t="s">
        <v>461</v>
      </c>
      <c r="C352" s="3" t="s">
        <v>462</v>
      </c>
      <c r="D352" s="3" t="s">
        <v>90</v>
      </c>
      <c r="E352" s="3" t="s">
        <v>82</v>
      </c>
      <c r="F352" s="3" t="s">
        <v>59</v>
      </c>
      <c r="G352" s="3"/>
      <c r="H352" s="32"/>
      <c r="I352" s="4">
        <v>1</v>
      </c>
      <c r="J352" s="4">
        <v>0.36</v>
      </c>
      <c r="K352" s="32">
        <v>3</v>
      </c>
      <c r="L352" s="32"/>
      <c r="M352" s="4"/>
      <c r="N352" s="4"/>
      <c r="O352" s="32"/>
      <c r="P352" s="6" t="s">
        <v>68</v>
      </c>
      <c r="Q352" s="26" t="s">
        <v>466</v>
      </c>
      <c r="R352" s="3" t="s">
        <v>472</v>
      </c>
      <c r="S352" s="3" t="s">
        <v>476</v>
      </c>
      <c r="T352" s="3"/>
      <c r="U352" s="3" t="s">
        <v>85</v>
      </c>
      <c r="V352" s="10" t="s">
        <v>464</v>
      </c>
      <c r="W352" s="3"/>
    </row>
    <row r="353" spans="1:64" s="2" customFormat="1" ht="14" x14ac:dyDescent="0.3">
      <c r="B353" s="2" t="s">
        <v>461</v>
      </c>
      <c r="C353" s="3" t="s">
        <v>462</v>
      </c>
      <c r="D353" s="3" t="s">
        <v>90</v>
      </c>
      <c r="E353" s="3" t="s">
        <v>82</v>
      </c>
      <c r="F353" s="3" t="s">
        <v>59</v>
      </c>
      <c r="G353" s="3"/>
      <c r="H353" s="32"/>
      <c r="I353" s="4">
        <v>0.91</v>
      </c>
      <c r="J353" s="4">
        <v>0.14000000000000001</v>
      </c>
      <c r="K353" s="32">
        <v>4</v>
      </c>
      <c r="L353" s="32"/>
      <c r="M353" s="4"/>
      <c r="N353" s="4"/>
      <c r="O353" s="32"/>
      <c r="P353" s="6" t="s">
        <v>68</v>
      </c>
      <c r="Q353" s="26" t="s">
        <v>466</v>
      </c>
      <c r="R353" s="3" t="s">
        <v>185</v>
      </c>
      <c r="S353" s="3" t="s">
        <v>475</v>
      </c>
      <c r="T353" s="3"/>
      <c r="U353" s="3" t="s">
        <v>85</v>
      </c>
      <c r="V353" s="10" t="s">
        <v>464</v>
      </c>
      <c r="W353" s="3"/>
    </row>
    <row r="354" spans="1:64" s="2" customFormat="1" ht="14" x14ac:dyDescent="0.3">
      <c r="B354" s="2" t="s">
        <v>461</v>
      </c>
      <c r="C354" s="3" t="s">
        <v>462</v>
      </c>
      <c r="D354" s="3" t="s">
        <v>90</v>
      </c>
      <c r="E354" s="3" t="s">
        <v>82</v>
      </c>
      <c r="F354" s="3" t="s">
        <v>59</v>
      </c>
      <c r="G354" s="3"/>
      <c r="H354" s="32"/>
      <c r="I354" s="4">
        <v>1.2</v>
      </c>
      <c r="J354" s="4"/>
      <c r="K354" s="32">
        <v>2</v>
      </c>
      <c r="L354" s="32"/>
      <c r="M354" s="4"/>
      <c r="N354" s="4"/>
      <c r="O354" s="32"/>
      <c r="P354" s="6" t="s">
        <v>68</v>
      </c>
      <c r="Q354" s="26" t="s">
        <v>466</v>
      </c>
      <c r="R354" s="3" t="s">
        <v>474</v>
      </c>
      <c r="S354" s="3" t="s">
        <v>473</v>
      </c>
      <c r="T354" s="3"/>
      <c r="U354" s="3" t="s">
        <v>85</v>
      </c>
      <c r="V354" s="10" t="s">
        <v>464</v>
      </c>
      <c r="W354" s="3"/>
    </row>
    <row r="355" spans="1:64" s="2" customFormat="1" ht="14" x14ac:dyDescent="0.3">
      <c r="B355" s="2" t="s">
        <v>461</v>
      </c>
      <c r="C355" s="3" t="s">
        <v>462</v>
      </c>
      <c r="D355" s="3" t="s">
        <v>90</v>
      </c>
      <c r="E355" s="3" t="s">
        <v>82</v>
      </c>
      <c r="F355" s="3" t="s">
        <v>59</v>
      </c>
      <c r="G355" s="3"/>
      <c r="H355" s="32"/>
      <c r="I355" s="4">
        <v>1.02</v>
      </c>
      <c r="J355" s="4">
        <v>0.27</v>
      </c>
      <c r="K355" s="32">
        <v>4</v>
      </c>
      <c r="L355" s="32"/>
      <c r="M355" s="4"/>
      <c r="N355" s="4"/>
      <c r="O355" s="32"/>
      <c r="P355" s="6" t="s">
        <v>68</v>
      </c>
      <c r="Q355" s="26" t="s">
        <v>466</v>
      </c>
      <c r="R355" s="3" t="s">
        <v>472</v>
      </c>
      <c r="S355" s="3" t="s">
        <v>471</v>
      </c>
      <c r="T355" s="3"/>
      <c r="U355" s="3" t="s">
        <v>85</v>
      </c>
      <c r="V355" s="10" t="s">
        <v>464</v>
      </c>
      <c r="W355" s="3"/>
    </row>
    <row r="356" spans="1:64" s="2" customFormat="1" ht="14" x14ac:dyDescent="0.3">
      <c r="B356" s="2" t="s">
        <v>461</v>
      </c>
      <c r="C356" s="3" t="s">
        <v>462</v>
      </c>
      <c r="D356" s="3" t="s">
        <v>90</v>
      </c>
      <c r="E356" s="3" t="s">
        <v>82</v>
      </c>
      <c r="F356" s="3" t="s">
        <v>59</v>
      </c>
      <c r="G356" s="3"/>
      <c r="H356" s="32">
        <v>12</v>
      </c>
      <c r="I356" s="4">
        <v>1.04</v>
      </c>
      <c r="J356" s="4">
        <v>0.17</v>
      </c>
      <c r="K356" s="32">
        <v>6</v>
      </c>
      <c r="L356" s="32"/>
      <c r="M356" s="4"/>
      <c r="N356" s="4"/>
      <c r="O356" s="32"/>
      <c r="P356" s="6" t="s">
        <v>68</v>
      </c>
      <c r="Q356" s="26" t="s">
        <v>466</v>
      </c>
      <c r="R356" s="3" t="s">
        <v>470</v>
      </c>
      <c r="S356" s="3" t="s">
        <v>469</v>
      </c>
      <c r="T356" s="3"/>
      <c r="U356" s="3" t="s">
        <v>85</v>
      </c>
      <c r="V356" s="10" t="s">
        <v>464</v>
      </c>
      <c r="W356" s="3"/>
    </row>
    <row r="357" spans="1:64" s="2" customFormat="1" ht="14" x14ac:dyDescent="0.3">
      <c r="B357" s="2" t="s">
        <v>461</v>
      </c>
      <c r="C357" s="3" t="s">
        <v>462</v>
      </c>
      <c r="D357" s="3" t="s">
        <v>90</v>
      </c>
      <c r="E357" s="3" t="s">
        <v>82</v>
      </c>
      <c r="F357" s="3" t="s">
        <v>59</v>
      </c>
      <c r="G357" s="3"/>
      <c r="H357" s="32">
        <v>8</v>
      </c>
      <c r="I357" s="4">
        <v>0.77</v>
      </c>
      <c r="J357" s="4"/>
      <c r="K357" s="32">
        <v>1</v>
      </c>
      <c r="L357" s="32"/>
      <c r="M357" s="4"/>
      <c r="N357" s="4"/>
      <c r="O357" s="32"/>
      <c r="P357" s="6" t="s">
        <v>68</v>
      </c>
      <c r="Q357" s="26" t="s">
        <v>466</v>
      </c>
      <c r="R357" s="3" t="s">
        <v>468</v>
      </c>
      <c r="S357" s="3"/>
      <c r="T357" s="3"/>
      <c r="U357" s="3" t="s">
        <v>85</v>
      </c>
      <c r="V357" s="10" t="s">
        <v>464</v>
      </c>
      <c r="W357" s="3"/>
    </row>
    <row r="358" spans="1:64" s="2" customFormat="1" ht="14" x14ac:dyDescent="0.3">
      <c r="B358" s="2" t="s">
        <v>461</v>
      </c>
      <c r="C358" s="3" t="s">
        <v>462</v>
      </c>
      <c r="D358" s="3" t="s">
        <v>90</v>
      </c>
      <c r="E358" s="3" t="s">
        <v>82</v>
      </c>
      <c r="F358" s="3" t="s">
        <v>59</v>
      </c>
      <c r="G358" s="3"/>
      <c r="H358" s="32"/>
      <c r="I358" s="4">
        <v>0.7</v>
      </c>
      <c r="J358" s="4">
        <v>0.17</v>
      </c>
      <c r="K358" s="32">
        <v>8</v>
      </c>
      <c r="L358" s="32"/>
      <c r="M358" s="4"/>
      <c r="N358" s="4"/>
      <c r="O358" s="32"/>
      <c r="P358" s="6" t="s">
        <v>68</v>
      </c>
      <c r="Q358" s="26" t="s">
        <v>466</v>
      </c>
      <c r="R358" s="3" t="s">
        <v>86</v>
      </c>
      <c r="S358" s="3" t="s">
        <v>467</v>
      </c>
      <c r="T358" s="3"/>
      <c r="U358" s="3" t="s">
        <v>85</v>
      </c>
      <c r="V358" s="10" t="s">
        <v>464</v>
      </c>
      <c r="W358" s="3"/>
    </row>
    <row r="359" spans="1:64" s="2" customFormat="1" ht="14" x14ac:dyDescent="0.3">
      <c r="B359" s="2" t="s">
        <v>461</v>
      </c>
      <c r="C359" s="3" t="s">
        <v>462</v>
      </c>
      <c r="D359" s="3" t="s">
        <v>90</v>
      </c>
      <c r="E359" s="3" t="s">
        <v>82</v>
      </c>
      <c r="F359" s="3" t="s">
        <v>59</v>
      </c>
      <c r="G359" s="3"/>
      <c r="H359" s="32"/>
      <c r="I359" s="4">
        <v>0.63</v>
      </c>
      <c r="J359" s="4"/>
      <c r="K359" s="32">
        <v>1</v>
      </c>
      <c r="L359" s="32"/>
      <c r="M359" s="4"/>
      <c r="N359" s="4"/>
      <c r="O359" s="32"/>
      <c r="P359" s="6" t="s">
        <v>68</v>
      </c>
      <c r="Q359" s="26" t="s">
        <v>466</v>
      </c>
      <c r="R359" s="3" t="s">
        <v>465</v>
      </c>
      <c r="S359" s="3"/>
      <c r="T359" s="3"/>
      <c r="U359" s="3" t="s">
        <v>85</v>
      </c>
      <c r="V359" s="10" t="s">
        <v>464</v>
      </c>
      <c r="W359" s="3"/>
    </row>
    <row r="360" spans="1:64" s="2" customFormat="1" ht="14" x14ac:dyDescent="0.3">
      <c r="B360" s="2" t="s">
        <v>461</v>
      </c>
      <c r="C360" s="3" t="s">
        <v>462</v>
      </c>
      <c r="D360" s="3" t="s">
        <v>90</v>
      </c>
      <c r="E360" s="2" t="s">
        <v>82</v>
      </c>
      <c r="F360" s="3" t="s">
        <v>122</v>
      </c>
      <c r="G360" s="3"/>
      <c r="H360" s="32" t="s">
        <v>463</v>
      </c>
      <c r="I360" s="4">
        <v>0.78</v>
      </c>
      <c r="J360" s="4">
        <v>0.12</v>
      </c>
      <c r="K360" s="32">
        <v>7</v>
      </c>
      <c r="L360" s="32"/>
      <c r="M360" s="4">
        <v>1.22</v>
      </c>
      <c r="N360" s="4">
        <v>0.17</v>
      </c>
      <c r="O360" s="32">
        <v>10</v>
      </c>
      <c r="P360" s="3" t="s">
        <v>120</v>
      </c>
      <c r="Q360" s="26" t="s">
        <v>119</v>
      </c>
      <c r="R360" s="3" t="s">
        <v>15</v>
      </c>
      <c r="S360" s="3" t="s">
        <v>118</v>
      </c>
      <c r="T360" s="3"/>
      <c r="U360" s="3" t="s">
        <v>13</v>
      </c>
      <c r="V360" s="10" t="s">
        <v>117</v>
      </c>
      <c r="W360" s="3"/>
    </row>
    <row r="361" spans="1:64" s="15" customFormat="1" ht="14" x14ac:dyDescent="0.3">
      <c r="A361" s="7" t="s">
        <v>981</v>
      </c>
      <c r="C361" s="15" t="s">
        <v>462</v>
      </c>
      <c r="E361" s="15" t="s">
        <v>82</v>
      </c>
      <c r="H361" s="35"/>
      <c r="I361" s="16">
        <f>AVERAGE(I338:I360)</f>
        <v>0.88391666666666657</v>
      </c>
      <c r="J361" s="16">
        <f>STDEV(I338:I360)/SQRT(COUNT(I338:I360))</f>
        <v>8.0043781422696733E-2</v>
      </c>
      <c r="K361" s="35"/>
      <c r="L361" s="35"/>
      <c r="M361" s="16">
        <f>AVERAGE(M338:M360)</f>
        <v>1.0545089996574939</v>
      </c>
      <c r="N361" s="16">
        <f>STDEV(M338:M360)/SQRT(COUNT(M338:M360))</f>
        <v>5.8463173536208453E-2</v>
      </c>
      <c r="O361" s="35"/>
      <c r="Q361" s="41"/>
      <c r="V361" s="46"/>
    </row>
    <row r="362" spans="1:64" s="49" customFormat="1" ht="14" x14ac:dyDescent="0.3">
      <c r="A362" s="2"/>
      <c r="B362" s="49" t="s">
        <v>1609</v>
      </c>
      <c r="C362" s="49" t="s">
        <v>1610</v>
      </c>
      <c r="D362" s="49" t="s">
        <v>1611</v>
      </c>
      <c r="E362" s="49" t="s">
        <v>82</v>
      </c>
      <c r="H362" s="50"/>
      <c r="I362" s="48"/>
      <c r="J362" s="48"/>
      <c r="K362" s="50"/>
      <c r="L362" s="50" t="s">
        <v>1613</v>
      </c>
      <c r="M362" s="48">
        <v>0.96</v>
      </c>
      <c r="N362" s="5"/>
      <c r="O362" s="50"/>
      <c r="P362" s="251" t="s">
        <v>1484</v>
      </c>
      <c r="Q362" s="252" t="s">
        <v>87</v>
      </c>
      <c r="R362" s="252" t="s">
        <v>502</v>
      </c>
      <c r="S362" s="251" t="s">
        <v>1485</v>
      </c>
      <c r="T362" s="251" t="s">
        <v>1486</v>
      </c>
      <c r="U362" s="251" t="s">
        <v>13</v>
      </c>
      <c r="V362" s="286" t="s">
        <v>1487</v>
      </c>
      <c r="W362" s="286"/>
      <c r="X362" s="286"/>
      <c r="Y362" s="286"/>
      <c r="Z362" s="286"/>
      <c r="AA362" s="286"/>
      <c r="AB362" s="286"/>
      <c r="AC362" s="286"/>
      <c r="AD362" s="286"/>
      <c r="AE362" s="286"/>
      <c r="AF362" s="286"/>
      <c r="AG362" s="286"/>
      <c r="AH362" s="286"/>
      <c r="AI362" s="286"/>
      <c r="AJ362" s="286"/>
      <c r="AK362" s="286"/>
      <c r="AL362" s="286"/>
      <c r="AM362" s="286"/>
      <c r="AN362" s="286"/>
      <c r="AO362" s="286"/>
      <c r="AP362" s="286"/>
    </row>
    <row r="363" spans="1:64" s="15" customFormat="1" ht="14" x14ac:dyDescent="0.3">
      <c r="A363" s="7" t="s">
        <v>1204</v>
      </c>
      <c r="C363" s="15" t="s">
        <v>1610</v>
      </c>
      <c r="E363" s="15" t="s">
        <v>82</v>
      </c>
      <c r="H363" s="35"/>
      <c r="I363" s="16"/>
      <c r="J363" s="16"/>
      <c r="K363" s="35"/>
      <c r="L363" s="35"/>
      <c r="M363" s="16">
        <f>AVERAGE(M362)</f>
        <v>0.96</v>
      </c>
      <c r="N363" s="8">
        <f>(1.06-M362)/2</f>
        <v>5.0000000000000044E-2</v>
      </c>
      <c r="O363" s="35"/>
      <c r="Q363" s="41"/>
      <c r="V363" s="46"/>
    </row>
    <row r="364" spans="1:64" s="49" customFormat="1" ht="14" x14ac:dyDescent="0.3">
      <c r="A364" s="2"/>
      <c r="B364" s="49" t="s">
        <v>1609</v>
      </c>
      <c r="C364" s="49" t="s">
        <v>1612</v>
      </c>
      <c r="D364" s="49" t="s">
        <v>10</v>
      </c>
      <c r="E364" s="49" t="s">
        <v>82</v>
      </c>
      <c r="F364" s="49" t="s">
        <v>1483</v>
      </c>
      <c r="H364" s="50"/>
      <c r="I364" s="48"/>
      <c r="J364" s="48"/>
      <c r="K364" s="50"/>
      <c r="L364" s="50" t="s">
        <v>1614</v>
      </c>
      <c r="M364" s="48">
        <v>1.08</v>
      </c>
      <c r="N364" s="5"/>
      <c r="O364" s="50"/>
      <c r="P364" s="251" t="s">
        <v>1484</v>
      </c>
      <c r="Q364" s="252" t="s">
        <v>87</v>
      </c>
      <c r="R364" s="252" t="s">
        <v>502</v>
      </c>
      <c r="S364" s="251" t="s">
        <v>1485</v>
      </c>
      <c r="T364" s="251" t="s">
        <v>1486</v>
      </c>
      <c r="U364" s="251" t="s">
        <v>13</v>
      </c>
      <c r="V364" s="286" t="s">
        <v>1487</v>
      </c>
      <c r="W364" s="286"/>
      <c r="X364" s="286"/>
      <c r="Y364" s="286"/>
      <c r="Z364" s="286"/>
      <c r="AA364" s="286"/>
      <c r="AB364" s="286"/>
      <c r="AC364" s="286"/>
      <c r="AD364" s="286"/>
      <c r="AE364" s="286"/>
      <c r="AF364" s="286"/>
      <c r="AG364" s="286"/>
      <c r="AH364" s="286"/>
      <c r="AI364" s="286"/>
      <c r="AJ364" s="286"/>
      <c r="AK364" s="286"/>
      <c r="AL364" s="286"/>
      <c r="AM364" s="286"/>
      <c r="AN364" s="286"/>
      <c r="AO364" s="286"/>
      <c r="AP364" s="286"/>
    </row>
    <row r="365" spans="1:64" x14ac:dyDescent="0.35">
      <c r="A365" s="2"/>
      <c r="B365" s="2" t="s">
        <v>1126</v>
      </c>
      <c r="C365" s="2" t="s">
        <v>11</v>
      </c>
      <c r="D365" s="2" t="s">
        <v>10</v>
      </c>
      <c r="E365" s="2" t="s">
        <v>9</v>
      </c>
      <c r="F365" s="2" t="s">
        <v>8</v>
      </c>
      <c r="G365" s="2"/>
      <c r="H365" s="34" t="s">
        <v>7</v>
      </c>
      <c r="I365" s="5">
        <v>0.4138</v>
      </c>
      <c r="J365" s="5">
        <v>0.25297868346110503</v>
      </c>
      <c r="K365" s="34">
        <v>8</v>
      </c>
      <c r="L365" s="34"/>
      <c r="M365" s="5"/>
      <c r="N365" s="5"/>
      <c r="O365" s="34"/>
      <c r="P365" s="2" t="s">
        <v>6</v>
      </c>
      <c r="Q365" s="39" t="s">
        <v>5</v>
      </c>
      <c r="R365" s="2" t="s">
        <v>4</v>
      </c>
      <c r="S365" s="2" t="s">
        <v>3</v>
      </c>
      <c r="T365" s="2" t="s">
        <v>2</v>
      </c>
      <c r="U365" s="2" t="s">
        <v>1</v>
      </c>
      <c r="V365" s="44" t="s">
        <v>0</v>
      </c>
      <c r="W365" s="2"/>
    </row>
    <row r="366" spans="1:64" s="12" customFormat="1" x14ac:dyDescent="0.35">
      <c r="A366" s="7" t="s">
        <v>1158</v>
      </c>
      <c r="B366" s="7"/>
      <c r="C366" s="7" t="s">
        <v>11</v>
      </c>
      <c r="D366" s="7"/>
      <c r="E366" s="7" t="s">
        <v>9</v>
      </c>
      <c r="F366" s="7"/>
      <c r="G366" s="7"/>
      <c r="H366" s="33"/>
      <c r="I366" s="8">
        <v>0.4138</v>
      </c>
      <c r="J366" s="8">
        <f>J365/SQRT(K365)</f>
        <v>8.9441471285496219E-2</v>
      </c>
      <c r="K366" s="33"/>
      <c r="L366" s="33"/>
      <c r="M366" s="8">
        <f>AVERAGE(M364:M365)</f>
        <v>1.08</v>
      </c>
      <c r="N366" s="8">
        <f>(1.26-M364)/2</f>
        <v>8.9999999999999969E-2</v>
      </c>
      <c r="O366" s="33"/>
      <c r="P366" s="7"/>
      <c r="Q366" s="38"/>
      <c r="R366" s="7"/>
      <c r="S366" s="7"/>
      <c r="T366" s="7"/>
      <c r="U366" s="7"/>
      <c r="V366" s="13"/>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row>
    <row r="367" spans="1:64" x14ac:dyDescent="0.35">
      <c r="A367" s="2"/>
      <c r="B367" s="2" t="s">
        <v>377</v>
      </c>
      <c r="C367" s="2" t="s">
        <v>398</v>
      </c>
      <c r="D367" s="2" t="s">
        <v>1733</v>
      </c>
      <c r="E367" s="2" t="s">
        <v>359</v>
      </c>
      <c r="F367" s="2" t="s">
        <v>1483</v>
      </c>
      <c r="G367" s="2" t="s">
        <v>54</v>
      </c>
      <c r="H367" s="34"/>
      <c r="I367" s="5"/>
      <c r="J367" s="5"/>
      <c r="K367" s="34"/>
      <c r="L367" s="34"/>
      <c r="M367" s="5">
        <v>2.0099999999999998</v>
      </c>
      <c r="N367" s="5">
        <v>0.14000000000000001</v>
      </c>
      <c r="O367" s="34">
        <v>24</v>
      </c>
      <c r="P367" s="2"/>
      <c r="Q367" s="39"/>
      <c r="R367" s="2" t="s">
        <v>502</v>
      </c>
      <c r="S367" s="2" t="s">
        <v>1734</v>
      </c>
      <c r="T367" s="2"/>
      <c r="U367" s="2" t="s">
        <v>13</v>
      </c>
      <c r="V367" s="44" t="s">
        <v>1735</v>
      </c>
      <c r="W367" s="2"/>
    </row>
    <row r="368" spans="1:64" s="2" customFormat="1" ht="14" x14ac:dyDescent="0.3">
      <c r="B368" s="3" t="s">
        <v>377</v>
      </c>
      <c r="C368" s="3" t="s">
        <v>398</v>
      </c>
      <c r="D368" s="3" t="s">
        <v>428</v>
      </c>
      <c r="E368" s="3" t="s">
        <v>359</v>
      </c>
      <c r="F368" s="2" t="s">
        <v>397</v>
      </c>
      <c r="G368" s="2" t="s">
        <v>1036</v>
      </c>
      <c r="H368" s="34"/>
      <c r="I368" s="5">
        <f>2.64/2</f>
        <v>1.32</v>
      </c>
      <c r="J368" s="5">
        <f>4.56/2</f>
        <v>2.2799999999999998</v>
      </c>
      <c r="K368" s="34">
        <v>10</v>
      </c>
      <c r="L368" s="34"/>
      <c r="M368" s="5"/>
      <c r="N368" s="5"/>
      <c r="O368" s="34"/>
      <c r="P368" s="2" t="s">
        <v>88</v>
      </c>
      <c r="Q368" s="39" t="s">
        <v>77</v>
      </c>
      <c r="R368" s="2" t="s">
        <v>66</v>
      </c>
      <c r="S368" s="2" t="s">
        <v>396</v>
      </c>
      <c r="U368" s="2" t="s">
        <v>37</v>
      </c>
      <c r="V368" s="44" t="s">
        <v>395</v>
      </c>
      <c r="W368" s="3"/>
    </row>
    <row r="369" spans="1:23" s="2" customFormat="1" ht="14" x14ac:dyDescent="0.3">
      <c r="B369" s="3" t="s">
        <v>377</v>
      </c>
      <c r="C369" s="3" t="s">
        <v>398</v>
      </c>
      <c r="D369" s="2" t="s">
        <v>428</v>
      </c>
      <c r="E369" s="3" t="s">
        <v>359</v>
      </c>
      <c r="F369" s="3" t="s">
        <v>31</v>
      </c>
      <c r="G369" s="3" t="s">
        <v>452</v>
      </c>
      <c r="H369" s="34"/>
      <c r="I369" s="4">
        <v>2.2400000000000002</v>
      </c>
      <c r="J369" s="4"/>
      <c r="K369" s="32">
        <v>8</v>
      </c>
      <c r="L369" s="32"/>
      <c r="M369" s="4"/>
      <c r="N369" s="4"/>
      <c r="O369" s="32"/>
      <c r="P369" s="3" t="s">
        <v>74</v>
      </c>
      <c r="Q369" s="26" t="s">
        <v>225</v>
      </c>
      <c r="R369" s="3" t="s">
        <v>454</v>
      </c>
      <c r="S369" s="3" t="s">
        <v>1094</v>
      </c>
      <c r="T369" s="3" t="s">
        <v>49</v>
      </c>
      <c r="U369" s="3" t="s">
        <v>48</v>
      </c>
      <c r="V369" s="10" t="s">
        <v>453</v>
      </c>
      <c r="W369" s="3"/>
    </row>
    <row r="370" spans="1:23" s="2" customFormat="1" ht="14" x14ac:dyDescent="0.3">
      <c r="B370" s="3" t="s">
        <v>377</v>
      </c>
      <c r="C370" s="3" t="s">
        <v>398</v>
      </c>
      <c r="D370" s="2" t="s">
        <v>428</v>
      </c>
      <c r="E370" s="3" t="s">
        <v>359</v>
      </c>
      <c r="F370" s="3" t="s">
        <v>31</v>
      </c>
      <c r="G370" s="3" t="s">
        <v>1106</v>
      </c>
      <c r="H370" s="34" t="s">
        <v>1107</v>
      </c>
      <c r="I370" s="5">
        <f>AVERAGE(3.46, 2.98)</f>
        <v>3.2199999999999998</v>
      </c>
      <c r="J370" s="5">
        <f>AVERAGE(0.424, 0.311)</f>
        <v>0.36749999999999999</v>
      </c>
      <c r="K370" s="34">
        <v>24</v>
      </c>
      <c r="L370" s="32"/>
      <c r="M370" s="4"/>
      <c r="N370" s="4"/>
      <c r="O370" s="32"/>
      <c r="P370" s="6" t="s">
        <v>74</v>
      </c>
      <c r="Q370" s="39" t="s">
        <v>1108</v>
      </c>
      <c r="R370" s="3" t="s">
        <v>51</v>
      </c>
      <c r="S370" s="3" t="s">
        <v>76</v>
      </c>
      <c r="T370" s="3" t="s">
        <v>1088</v>
      </c>
      <c r="U370" s="3" t="s">
        <v>48</v>
      </c>
      <c r="V370" s="44" t="s">
        <v>75</v>
      </c>
      <c r="W370" s="3"/>
    </row>
    <row r="371" spans="1:23" s="2" customFormat="1" ht="14" x14ac:dyDescent="0.3">
      <c r="B371" s="3" t="s">
        <v>377</v>
      </c>
      <c r="C371" s="3" t="s">
        <v>398</v>
      </c>
      <c r="D371" s="2" t="s">
        <v>428</v>
      </c>
      <c r="E371" s="3" t="s">
        <v>359</v>
      </c>
      <c r="F371" s="3" t="s">
        <v>31</v>
      </c>
      <c r="G371" s="3" t="s">
        <v>1102</v>
      </c>
      <c r="H371" s="32" t="s">
        <v>1103</v>
      </c>
      <c r="I371" s="4">
        <f>AVERAGE(5.045,5.017)</f>
        <v>5.0310000000000006</v>
      </c>
      <c r="J371" s="4">
        <f>AVERAGE(0.55,0.453)</f>
        <v>0.50150000000000006</v>
      </c>
      <c r="K371" s="32">
        <v>12</v>
      </c>
      <c r="L371" s="32"/>
      <c r="M371" s="4"/>
      <c r="N371" s="4"/>
      <c r="O371" s="32"/>
      <c r="P371" s="6" t="s">
        <v>74</v>
      </c>
      <c r="Q371" s="39" t="s">
        <v>1104</v>
      </c>
      <c r="R371" s="3" t="s">
        <v>424</v>
      </c>
      <c r="S371" s="3" t="s">
        <v>1105</v>
      </c>
      <c r="T371" s="3" t="s">
        <v>49</v>
      </c>
      <c r="U371" s="3" t="s">
        <v>48</v>
      </c>
      <c r="V371" s="44" t="s">
        <v>450</v>
      </c>
      <c r="W371" s="3"/>
    </row>
    <row r="372" spans="1:23" s="2" customFormat="1" ht="14" x14ac:dyDescent="0.3">
      <c r="B372" s="3" t="s">
        <v>377</v>
      </c>
      <c r="C372" s="3" t="s">
        <v>398</v>
      </c>
      <c r="D372" s="2" t="s">
        <v>428</v>
      </c>
      <c r="E372" s="3" t="s">
        <v>359</v>
      </c>
      <c r="F372" s="3" t="s">
        <v>347</v>
      </c>
      <c r="G372" s="3" t="s">
        <v>1111</v>
      </c>
      <c r="H372" s="32" t="s">
        <v>1110</v>
      </c>
      <c r="I372" s="4">
        <f>AVERAGE(3.96, 3.36)</f>
        <v>3.66</v>
      </c>
      <c r="J372" s="4">
        <f>STDEV(3.96, 3.36)/SQRT(2)</f>
        <v>0.3</v>
      </c>
      <c r="K372" s="32"/>
      <c r="L372" s="32"/>
      <c r="M372" s="4"/>
      <c r="N372" s="4"/>
      <c r="O372" s="32"/>
      <c r="P372" s="3" t="s">
        <v>114</v>
      </c>
      <c r="Q372" s="39" t="s">
        <v>1109</v>
      </c>
      <c r="R372" s="3" t="s">
        <v>424</v>
      </c>
      <c r="S372" s="3" t="s">
        <v>449</v>
      </c>
      <c r="T372" s="3"/>
      <c r="U372" s="3" t="s">
        <v>48</v>
      </c>
      <c r="V372" s="44" t="s">
        <v>448</v>
      </c>
      <c r="W372" s="3"/>
    </row>
    <row r="373" spans="1:23" s="2" customFormat="1" ht="14" x14ac:dyDescent="0.3">
      <c r="B373" s="3" t="s">
        <v>377</v>
      </c>
      <c r="C373" s="3" t="s">
        <v>398</v>
      </c>
      <c r="D373" s="2" t="s">
        <v>428</v>
      </c>
      <c r="E373" s="3" t="s">
        <v>359</v>
      </c>
      <c r="F373" s="3" t="s">
        <v>31</v>
      </c>
      <c r="G373" s="3" t="s">
        <v>54</v>
      </c>
      <c r="H373" s="32" t="s">
        <v>447</v>
      </c>
      <c r="I373" s="4">
        <v>4.78</v>
      </c>
      <c r="J373" s="4">
        <v>1.24</v>
      </c>
      <c r="K373" s="32">
        <v>61</v>
      </c>
      <c r="L373" s="32"/>
      <c r="M373" s="4"/>
      <c r="N373" s="4"/>
      <c r="O373" s="32"/>
      <c r="P373" s="3" t="s">
        <v>52</v>
      </c>
      <c r="Q373" s="39" t="s">
        <v>40</v>
      </c>
      <c r="R373" s="3" t="s">
        <v>51</v>
      </c>
      <c r="S373" s="3" t="s">
        <v>50</v>
      </c>
      <c r="T373" s="3" t="s">
        <v>49</v>
      </c>
      <c r="U373" s="3" t="s">
        <v>48</v>
      </c>
      <c r="V373" s="44" t="s">
        <v>47</v>
      </c>
      <c r="W373" s="3"/>
    </row>
    <row r="374" spans="1:23" s="2" customFormat="1" ht="14" x14ac:dyDescent="0.3">
      <c r="B374" s="3" t="s">
        <v>377</v>
      </c>
      <c r="C374" s="3" t="s">
        <v>398</v>
      </c>
      <c r="D374" s="2" t="s">
        <v>428</v>
      </c>
      <c r="E374" s="3" t="s">
        <v>359</v>
      </c>
      <c r="F374" s="3" t="s">
        <v>329</v>
      </c>
      <c r="G374" s="3"/>
      <c r="H374" s="32" t="s">
        <v>446</v>
      </c>
      <c r="I374" s="4">
        <v>2.78</v>
      </c>
      <c r="J374" s="4"/>
      <c r="K374" s="32" t="s">
        <v>445</v>
      </c>
      <c r="L374" s="32"/>
      <c r="M374" s="4"/>
      <c r="N374" s="4"/>
      <c r="O374" s="32"/>
      <c r="P374" s="3" t="s">
        <v>68</v>
      </c>
      <c r="Q374" s="26" t="s">
        <v>77</v>
      </c>
      <c r="R374" s="3" t="s">
        <v>424</v>
      </c>
      <c r="S374" s="3" t="s">
        <v>423</v>
      </c>
      <c r="T374" s="3" t="s">
        <v>1088</v>
      </c>
      <c r="U374" s="3" t="s">
        <v>48</v>
      </c>
      <c r="V374" s="47" t="s">
        <v>421</v>
      </c>
      <c r="W374" s="3"/>
    </row>
    <row r="375" spans="1:23" s="2" customFormat="1" ht="14" x14ac:dyDescent="0.3">
      <c r="B375" s="3" t="s">
        <v>377</v>
      </c>
      <c r="C375" s="3" t="s">
        <v>398</v>
      </c>
      <c r="D375" s="2" t="s">
        <v>428</v>
      </c>
      <c r="E375" s="3" t="s">
        <v>359</v>
      </c>
      <c r="F375" s="3" t="s">
        <v>31</v>
      </c>
      <c r="G375" s="3"/>
      <c r="H375" s="32" t="s">
        <v>1098</v>
      </c>
      <c r="I375" s="4">
        <v>3.86</v>
      </c>
      <c r="J375" s="4"/>
      <c r="K375" s="32">
        <v>16</v>
      </c>
      <c r="L375" s="32"/>
      <c r="M375" s="4"/>
      <c r="N375" s="4"/>
      <c r="O375" s="32"/>
      <c r="P375" s="3"/>
      <c r="Q375" s="26" t="s">
        <v>1099</v>
      </c>
      <c r="R375" s="3" t="s">
        <v>424</v>
      </c>
      <c r="S375" s="3" t="s">
        <v>1101</v>
      </c>
      <c r="T375" s="3" t="s">
        <v>1088</v>
      </c>
      <c r="U375" s="3" t="s">
        <v>48</v>
      </c>
      <c r="V375" s="2" t="s">
        <v>1095</v>
      </c>
    </row>
    <row r="376" spans="1:23" s="2" customFormat="1" ht="14" x14ac:dyDescent="0.3">
      <c r="B376" s="3" t="s">
        <v>377</v>
      </c>
      <c r="C376" s="3" t="s">
        <v>398</v>
      </c>
      <c r="D376" s="2" t="s">
        <v>428</v>
      </c>
      <c r="E376" s="3" t="s">
        <v>359</v>
      </c>
      <c r="F376" s="3" t="s">
        <v>31</v>
      </c>
      <c r="G376" s="3"/>
      <c r="H376" s="32" t="s">
        <v>1097</v>
      </c>
      <c r="I376" s="4">
        <v>3.08</v>
      </c>
      <c r="J376" s="4"/>
      <c r="K376" s="32">
        <v>26</v>
      </c>
      <c r="L376" s="32"/>
      <c r="M376" s="4"/>
      <c r="N376" s="4"/>
      <c r="O376" s="32"/>
      <c r="P376" s="3"/>
      <c r="Q376" s="26" t="s">
        <v>1100</v>
      </c>
      <c r="R376" s="3" t="s">
        <v>424</v>
      </c>
      <c r="S376" s="3" t="s">
        <v>1096</v>
      </c>
      <c r="T376" s="3" t="s">
        <v>49</v>
      </c>
      <c r="U376" s="3" t="s">
        <v>48</v>
      </c>
      <c r="V376" s="2" t="s">
        <v>1095</v>
      </c>
    </row>
    <row r="377" spans="1:23" s="2" customFormat="1" ht="14" x14ac:dyDescent="0.3">
      <c r="B377" s="3" t="s">
        <v>377</v>
      </c>
      <c r="C377" s="3" t="s">
        <v>398</v>
      </c>
      <c r="D377" s="2" t="s">
        <v>428</v>
      </c>
      <c r="E377" s="3" t="s">
        <v>359</v>
      </c>
      <c r="F377" s="3" t="s">
        <v>31</v>
      </c>
      <c r="G377" s="3" t="s">
        <v>1113</v>
      </c>
      <c r="H377" s="32" t="s">
        <v>444</v>
      </c>
      <c r="I377" s="4">
        <f>AVERAGE(3.2,5.2)</f>
        <v>4.2</v>
      </c>
      <c r="J377" s="4"/>
      <c r="K377" s="32"/>
      <c r="L377" s="32"/>
      <c r="M377" s="4"/>
      <c r="N377" s="4"/>
      <c r="O377" s="32"/>
      <c r="P377" s="3" t="s">
        <v>74</v>
      </c>
      <c r="Q377" s="37" t="s">
        <v>443</v>
      </c>
      <c r="R377" s="3" t="s">
        <v>424</v>
      </c>
      <c r="S377" s="3" t="s">
        <v>442</v>
      </c>
      <c r="T377" s="3" t="s">
        <v>49</v>
      </c>
      <c r="U377" s="3" t="s">
        <v>48</v>
      </c>
      <c r="V377" s="10" t="s">
        <v>441</v>
      </c>
      <c r="W377" s="3"/>
    </row>
    <row r="378" spans="1:23" s="2" customFormat="1" ht="14" x14ac:dyDescent="0.3">
      <c r="B378" s="3" t="s">
        <v>377</v>
      </c>
      <c r="C378" s="3" t="s">
        <v>398</v>
      </c>
      <c r="D378" s="2" t="s">
        <v>428</v>
      </c>
      <c r="E378" s="3" t="s">
        <v>359</v>
      </c>
      <c r="F378" s="3" t="s">
        <v>31</v>
      </c>
      <c r="G378" s="3" t="s">
        <v>1153</v>
      </c>
      <c r="H378" s="32"/>
      <c r="I378" s="4">
        <f>AVERAGE(0.7392,0.66)</f>
        <v>0.6996</v>
      </c>
      <c r="J378" s="4">
        <f>STDEV(0.7392,0.66)/SQRT(2)</f>
        <v>3.9599999999999969E-2</v>
      </c>
      <c r="K378" s="54">
        <v>8</v>
      </c>
      <c r="L378" s="32"/>
      <c r="M378" s="4"/>
      <c r="N378" s="4"/>
      <c r="O378" s="32"/>
      <c r="P378" s="3" t="s">
        <v>74</v>
      </c>
      <c r="Q378" s="39" t="s">
        <v>1112</v>
      </c>
      <c r="R378" s="3" t="s">
        <v>382</v>
      </c>
      <c r="S378" s="3" t="s">
        <v>386</v>
      </c>
      <c r="T378" s="3"/>
      <c r="U378" s="3" t="s">
        <v>126</v>
      </c>
      <c r="V378" s="10" t="s">
        <v>384</v>
      </c>
      <c r="W378" s="3"/>
    </row>
    <row r="379" spans="1:23" s="2" customFormat="1" ht="14" x14ac:dyDescent="0.3">
      <c r="B379" s="3" t="s">
        <v>377</v>
      </c>
      <c r="C379" s="3" t="s">
        <v>398</v>
      </c>
      <c r="D379" s="2" t="s">
        <v>428</v>
      </c>
      <c r="E379" s="3" t="s">
        <v>359</v>
      </c>
      <c r="F379" s="3" t="s">
        <v>31</v>
      </c>
      <c r="G379" s="3"/>
      <c r="H379" s="32" t="s">
        <v>440</v>
      </c>
      <c r="I379" s="4">
        <v>1.4333492063492064</v>
      </c>
      <c r="J379" s="4">
        <v>0.15450592403482258</v>
      </c>
      <c r="K379" s="32" t="s">
        <v>439</v>
      </c>
      <c r="L379" s="32"/>
      <c r="M379" s="4"/>
      <c r="N379" s="4"/>
      <c r="O379" s="32"/>
      <c r="P379" s="3" t="s">
        <v>438</v>
      </c>
      <c r="Q379" s="26" t="s">
        <v>40</v>
      </c>
      <c r="R379" s="3" t="s">
        <v>102</v>
      </c>
      <c r="S379" s="3" t="s">
        <v>437</v>
      </c>
      <c r="T379" s="3"/>
      <c r="U379" s="3" t="s">
        <v>13</v>
      </c>
      <c r="V379" s="10" t="s">
        <v>436</v>
      </c>
      <c r="W379" s="3"/>
    </row>
    <row r="380" spans="1:23" s="2" customFormat="1" ht="14" x14ac:dyDescent="0.3">
      <c r="B380" s="3" t="s">
        <v>377</v>
      </c>
      <c r="C380" s="3" t="s">
        <v>398</v>
      </c>
      <c r="D380" s="2" t="s">
        <v>428</v>
      </c>
      <c r="E380" s="3" t="s">
        <v>359</v>
      </c>
      <c r="F380" s="3" t="s">
        <v>31</v>
      </c>
      <c r="G380" s="3" t="s">
        <v>54</v>
      </c>
      <c r="H380" s="32"/>
      <c r="I380" s="4">
        <v>1.24</v>
      </c>
      <c r="J380" s="4">
        <v>0.63300000000000001</v>
      </c>
      <c r="K380" s="32">
        <v>15</v>
      </c>
      <c r="L380" s="32"/>
      <c r="M380" s="4"/>
      <c r="N380" s="4"/>
      <c r="O380" s="32"/>
      <c r="P380" s="3" t="s">
        <v>347</v>
      </c>
      <c r="Q380" s="26" t="s">
        <v>40</v>
      </c>
      <c r="R380" s="3" t="s">
        <v>4</v>
      </c>
      <c r="S380" s="3" t="s">
        <v>435</v>
      </c>
      <c r="T380" s="3" t="s">
        <v>353</v>
      </c>
      <c r="U380" s="3" t="s">
        <v>1</v>
      </c>
      <c r="V380" s="10" t="s">
        <v>352</v>
      </c>
      <c r="W380" s="3"/>
    </row>
    <row r="381" spans="1:23" s="2" customFormat="1" ht="14" x14ac:dyDescent="0.3">
      <c r="B381" s="3" t="s">
        <v>377</v>
      </c>
      <c r="C381" s="3" t="s">
        <v>398</v>
      </c>
      <c r="D381" s="2" t="s">
        <v>428</v>
      </c>
      <c r="E381" s="3" t="s">
        <v>359</v>
      </c>
      <c r="F381" s="3" t="s">
        <v>31</v>
      </c>
      <c r="G381" s="3" t="s">
        <v>54</v>
      </c>
      <c r="H381" s="32"/>
      <c r="I381" s="4">
        <v>1.61</v>
      </c>
      <c r="J381" s="4">
        <v>0.63700000000000001</v>
      </c>
      <c r="K381" s="32">
        <v>7</v>
      </c>
      <c r="L381" s="32"/>
      <c r="M381" s="4"/>
      <c r="N381" s="4"/>
      <c r="O381" s="32"/>
      <c r="P381" s="3" t="s">
        <v>347</v>
      </c>
      <c r="Q381" s="26" t="s">
        <v>40</v>
      </c>
      <c r="R381" s="3" t="s">
        <v>4</v>
      </c>
      <c r="S381" s="3" t="s">
        <v>346</v>
      </c>
      <c r="T381" s="3" t="s">
        <v>353</v>
      </c>
      <c r="U381" s="3" t="s">
        <v>1</v>
      </c>
      <c r="V381" s="10" t="s">
        <v>352</v>
      </c>
      <c r="W381" s="3"/>
    </row>
    <row r="382" spans="1:23" s="2" customFormat="1" ht="14" x14ac:dyDescent="0.3">
      <c r="B382" s="3" t="s">
        <v>377</v>
      </c>
      <c r="C382" s="3" t="s">
        <v>398</v>
      </c>
      <c r="D382" s="2" t="s">
        <v>428</v>
      </c>
      <c r="E382" s="3" t="s">
        <v>359</v>
      </c>
      <c r="F382" s="3" t="s">
        <v>31</v>
      </c>
      <c r="G382" s="3"/>
      <c r="H382" s="32" t="s">
        <v>434</v>
      </c>
      <c r="I382" s="4">
        <v>1.07</v>
      </c>
      <c r="J382" s="4">
        <v>0.05</v>
      </c>
      <c r="K382" s="32">
        <v>8</v>
      </c>
      <c r="L382" s="32"/>
      <c r="M382" s="4"/>
      <c r="N382" s="4"/>
      <c r="O382" s="32"/>
      <c r="P382" s="6" t="s">
        <v>347</v>
      </c>
      <c r="Q382" s="26" t="s">
        <v>40</v>
      </c>
      <c r="R382" s="3" t="s">
        <v>4</v>
      </c>
      <c r="S382" s="3" t="s">
        <v>346</v>
      </c>
      <c r="T382" s="3" t="s">
        <v>353</v>
      </c>
      <c r="U382" s="3" t="s">
        <v>1</v>
      </c>
      <c r="V382" s="10" t="s">
        <v>344</v>
      </c>
      <c r="W382" s="3"/>
    </row>
    <row r="383" spans="1:23" s="2" customFormat="1" ht="14" x14ac:dyDescent="0.3">
      <c r="B383" s="3" t="s">
        <v>377</v>
      </c>
      <c r="C383" s="3" t="s">
        <v>398</v>
      </c>
      <c r="D383" s="2" t="s">
        <v>428</v>
      </c>
      <c r="E383" s="3" t="s">
        <v>359</v>
      </c>
      <c r="F383" s="3" t="s">
        <v>31</v>
      </c>
      <c r="G383" s="3"/>
      <c r="H383" s="32" t="s">
        <v>433</v>
      </c>
      <c r="I383" s="4">
        <v>1.4</v>
      </c>
      <c r="J383" s="4"/>
      <c r="K383" s="32">
        <v>10</v>
      </c>
      <c r="L383" s="32"/>
      <c r="M383" s="4"/>
      <c r="N383" s="4"/>
      <c r="O383" s="32"/>
      <c r="P383" s="6" t="s">
        <v>52</v>
      </c>
      <c r="Q383" s="26" t="s">
        <v>77</v>
      </c>
      <c r="R383" s="3" t="s">
        <v>4</v>
      </c>
      <c r="S383" s="3" t="s">
        <v>432</v>
      </c>
      <c r="T383" s="3" t="s">
        <v>1151</v>
      </c>
      <c r="U383" s="3" t="s">
        <v>191</v>
      </c>
      <c r="V383" s="10" t="s">
        <v>431</v>
      </c>
      <c r="W383" s="3"/>
    </row>
    <row r="384" spans="1:23" x14ac:dyDescent="0.35">
      <c r="A384" s="2"/>
      <c r="B384" s="3" t="s">
        <v>377</v>
      </c>
      <c r="C384" s="3" t="s">
        <v>398</v>
      </c>
      <c r="D384" s="2" t="s">
        <v>428</v>
      </c>
      <c r="E384" s="3" t="s">
        <v>359</v>
      </c>
      <c r="F384" s="3" t="s">
        <v>31</v>
      </c>
      <c r="G384" s="2" t="s">
        <v>1150</v>
      </c>
      <c r="I384" s="4">
        <f>5.4/13*12</f>
        <v>4.9846153846153847</v>
      </c>
      <c r="J384" s="4">
        <v>0.1</v>
      </c>
      <c r="K384" s="32">
        <v>13</v>
      </c>
      <c r="Q384" s="26" t="s">
        <v>40</v>
      </c>
      <c r="R384" s="3" t="s">
        <v>4</v>
      </c>
      <c r="S384" s="3" t="s">
        <v>429</v>
      </c>
      <c r="U384" s="3" t="s">
        <v>191</v>
      </c>
      <c r="V384" s="44" t="s">
        <v>430</v>
      </c>
    </row>
    <row r="385" spans="1:42" x14ac:dyDescent="0.35">
      <c r="A385" s="2"/>
      <c r="B385" s="3" t="s">
        <v>377</v>
      </c>
      <c r="C385" s="3" t="s">
        <v>398</v>
      </c>
      <c r="D385" s="2" t="s">
        <v>428</v>
      </c>
      <c r="E385" s="3" t="s">
        <v>359</v>
      </c>
      <c r="F385" s="3" t="s">
        <v>31</v>
      </c>
      <c r="G385" s="3" t="s">
        <v>1044</v>
      </c>
      <c r="H385" s="32" t="s">
        <v>1045</v>
      </c>
      <c r="I385" s="4">
        <v>2.5386733620516932</v>
      </c>
      <c r="J385" s="4">
        <v>0.28027179021022708</v>
      </c>
      <c r="K385" s="32">
        <v>17</v>
      </c>
      <c r="P385" s="6" t="s">
        <v>68</v>
      </c>
      <c r="Q385" s="26" t="s">
        <v>225</v>
      </c>
      <c r="R385" s="3" t="s">
        <v>370</v>
      </c>
      <c r="S385" s="3" t="s">
        <v>85</v>
      </c>
      <c r="U385" s="3" t="s">
        <v>85</v>
      </c>
      <c r="V385" s="10" t="s">
        <v>369</v>
      </c>
    </row>
    <row r="386" spans="1:42" x14ac:dyDescent="0.35">
      <c r="A386" s="2"/>
      <c r="B386" s="3" t="s">
        <v>377</v>
      </c>
      <c r="C386" s="3" t="s">
        <v>398</v>
      </c>
      <c r="D386" s="2" t="s">
        <v>427</v>
      </c>
      <c r="E386" s="3" t="s">
        <v>359</v>
      </c>
      <c r="F386" s="3" t="s">
        <v>42</v>
      </c>
      <c r="H386" s="32" t="s">
        <v>1058</v>
      </c>
      <c r="I386" s="4">
        <v>1.3883333333333334</v>
      </c>
      <c r="J386" s="4">
        <v>1.1657000757770701</v>
      </c>
      <c r="K386" s="32">
        <v>6</v>
      </c>
      <c r="P386" s="3" t="s">
        <v>41</v>
      </c>
      <c r="Q386" s="26" t="s">
        <v>40</v>
      </c>
      <c r="R386" s="3" t="s">
        <v>39</v>
      </c>
      <c r="S386" s="3" t="s">
        <v>38</v>
      </c>
      <c r="U386" s="3" t="s">
        <v>37</v>
      </c>
      <c r="V386" s="10" t="s">
        <v>36</v>
      </c>
    </row>
    <row r="387" spans="1:42" x14ac:dyDescent="0.35">
      <c r="A387" s="2"/>
      <c r="B387" s="2" t="s">
        <v>377</v>
      </c>
      <c r="C387" s="2" t="s">
        <v>398</v>
      </c>
      <c r="D387" s="2" t="s">
        <v>428</v>
      </c>
      <c r="E387" s="2" t="s">
        <v>359</v>
      </c>
      <c r="F387" s="2" t="s">
        <v>1046</v>
      </c>
      <c r="G387" s="2" t="s">
        <v>1710</v>
      </c>
      <c r="H387" s="34"/>
      <c r="I387" s="5">
        <v>1.89</v>
      </c>
      <c r="J387" s="5"/>
      <c r="K387" s="34"/>
      <c r="L387" s="1"/>
      <c r="M387" s="34">
        <v>1.7</v>
      </c>
      <c r="N387" s="5"/>
      <c r="O387" s="34"/>
      <c r="P387" s="2" t="s">
        <v>1709</v>
      </c>
      <c r="Q387" s="39"/>
      <c r="R387" s="2" t="s">
        <v>1707</v>
      </c>
      <c r="S387" s="2" t="s">
        <v>1708</v>
      </c>
      <c r="T387" s="2"/>
      <c r="U387" s="2" t="s">
        <v>48</v>
      </c>
      <c r="V387" s="44" t="s">
        <v>1706</v>
      </c>
      <c r="W387" s="2"/>
    </row>
    <row r="388" spans="1:42" x14ac:dyDescent="0.35">
      <c r="A388" s="2"/>
      <c r="B388" s="2" t="s">
        <v>377</v>
      </c>
      <c r="C388" s="2" t="s">
        <v>398</v>
      </c>
      <c r="D388" s="2" t="s">
        <v>428</v>
      </c>
      <c r="E388" s="2" t="s">
        <v>359</v>
      </c>
      <c r="F388" s="2" t="s">
        <v>31</v>
      </c>
      <c r="G388" s="2" t="s">
        <v>1711</v>
      </c>
      <c r="H388" s="34"/>
      <c r="I388" s="5">
        <v>2.2000000000000002</v>
      </c>
      <c r="J388" s="5">
        <v>0.17</v>
      </c>
      <c r="K388" s="34"/>
      <c r="L388" s="34"/>
      <c r="M388" s="5">
        <v>1.22</v>
      </c>
      <c r="N388" s="5">
        <v>0.03</v>
      </c>
      <c r="O388" s="34"/>
      <c r="P388" s="251"/>
      <c r="Q388" s="253" t="s">
        <v>245</v>
      </c>
      <c r="R388" s="252" t="s">
        <v>4</v>
      </c>
      <c r="S388" s="251" t="s">
        <v>1248</v>
      </c>
      <c r="T388" s="251"/>
      <c r="U388" s="251" t="s">
        <v>1215</v>
      </c>
      <c r="V388" s="254" t="s">
        <v>1712</v>
      </c>
      <c r="W388" s="249"/>
      <c r="X388" s="249"/>
      <c r="Y388" s="249"/>
      <c r="Z388" s="249"/>
      <c r="AA388" s="249"/>
      <c r="AB388" s="249"/>
      <c r="AC388" s="249"/>
      <c r="AD388" s="249"/>
      <c r="AE388" s="249"/>
      <c r="AF388" s="249"/>
      <c r="AG388" s="249"/>
      <c r="AH388" s="249"/>
      <c r="AI388" s="249"/>
      <c r="AJ388" s="249"/>
      <c r="AK388" s="249"/>
      <c r="AL388" s="249"/>
      <c r="AM388" s="249"/>
      <c r="AN388" s="249"/>
      <c r="AO388" s="249"/>
      <c r="AP388" s="249"/>
    </row>
    <row r="389" spans="1:42" x14ac:dyDescent="0.35">
      <c r="A389" s="2"/>
      <c r="B389" s="2" t="s">
        <v>377</v>
      </c>
      <c r="C389" s="2" t="s">
        <v>398</v>
      </c>
      <c r="D389" s="2" t="s">
        <v>428</v>
      </c>
      <c r="E389" s="2" t="s">
        <v>359</v>
      </c>
      <c r="F389" s="2" t="s">
        <v>31</v>
      </c>
      <c r="G389" s="2" t="s">
        <v>1711</v>
      </c>
      <c r="H389" s="34"/>
      <c r="I389" s="5">
        <v>1.93</v>
      </c>
      <c r="J389" s="5">
        <v>0.17</v>
      </c>
      <c r="K389" s="34"/>
      <c r="L389" s="34"/>
      <c r="M389" s="5">
        <v>1.18</v>
      </c>
      <c r="N389" s="5">
        <v>0.03</v>
      </c>
      <c r="O389" s="34"/>
      <c r="P389" s="251"/>
      <c r="Q389" s="253" t="s">
        <v>245</v>
      </c>
      <c r="R389" s="252" t="s">
        <v>4</v>
      </c>
      <c r="S389" s="251" t="s">
        <v>180</v>
      </c>
      <c r="T389" s="251"/>
      <c r="U389" s="251" t="s">
        <v>1215</v>
      </c>
      <c r="V389" s="254" t="s">
        <v>1712</v>
      </c>
      <c r="W389" s="249"/>
      <c r="X389" s="249"/>
      <c r="Y389" s="249"/>
      <c r="Z389" s="249"/>
      <c r="AA389" s="249"/>
      <c r="AB389" s="249"/>
      <c r="AC389" s="249"/>
      <c r="AD389" s="249"/>
      <c r="AE389" s="249"/>
      <c r="AF389" s="249"/>
      <c r="AG389" s="249"/>
      <c r="AH389" s="249"/>
      <c r="AI389" s="249"/>
      <c r="AJ389" s="249"/>
      <c r="AK389" s="249"/>
      <c r="AL389" s="249"/>
      <c r="AM389" s="249"/>
      <c r="AN389" s="249"/>
      <c r="AO389" s="249"/>
      <c r="AP389" s="249"/>
    </row>
    <row r="390" spans="1:42" x14ac:dyDescent="0.35">
      <c r="A390" s="2"/>
      <c r="B390" s="2" t="s">
        <v>377</v>
      </c>
      <c r="C390" s="2" t="s">
        <v>398</v>
      </c>
      <c r="D390" s="2" t="s">
        <v>428</v>
      </c>
      <c r="E390" s="2" t="s">
        <v>359</v>
      </c>
      <c r="F390" s="2" t="s">
        <v>31</v>
      </c>
      <c r="G390" s="2" t="s">
        <v>1711</v>
      </c>
      <c r="H390" s="34"/>
      <c r="I390" s="5">
        <v>1.5</v>
      </c>
      <c r="J390" s="5">
        <v>0.15</v>
      </c>
      <c r="K390" s="34"/>
      <c r="L390" s="34"/>
      <c r="M390" s="5">
        <v>1.23</v>
      </c>
      <c r="N390" s="5">
        <v>0.02</v>
      </c>
      <c r="O390" s="34"/>
      <c r="P390" s="251"/>
      <c r="Q390" s="253" t="s">
        <v>245</v>
      </c>
      <c r="R390" s="252" t="s">
        <v>4</v>
      </c>
      <c r="S390" s="251" t="s">
        <v>483</v>
      </c>
      <c r="T390" s="251"/>
      <c r="U390" s="251" t="s">
        <v>1215</v>
      </c>
      <c r="V390" s="254" t="s">
        <v>1712</v>
      </c>
      <c r="W390" s="249"/>
      <c r="X390" s="249"/>
      <c r="Y390" s="249"/>
      <c r="Z390" s="249"/>
      <c r="AA390" s="249"/>
      <c r="AB390" s="249"/>
      <c r="AC390" s="249"/>
      <c r="AD390" s="249"/>
      <c r="AE390" s="249"/>
      <c r="AF390" s="249"/>
      <c r="AG390" s="249"/>
      <c r="AH390" s="249"/>
      <c r="AI390" s="249"/>
      <c r="AJ390" s="249"/>
      <c r="AK390" s="249"/>
      <c r="AL390" s="249"/>
      <c r="AM390" s="249"/>
      <c r="AN390" s="249"/>
      <c r="AO390" s="249"/>
      <c r="AP390" s="249"/>
    </row>
    <row r="391" spans="1:42" x14ac:dyDescent="0.35">
      <c r="A391" s="2"/>
      <c r="B391" s="3" t="s">
        <v>377</v>
      </c>
      <c r="C391" s="3" t="s">
        <v>398</v>
      </c>
      <c r="D391" s="2" t="s">
        <v>420</v>
      </c>
      <c r="E391" s="3" t="s">
        <v>359</v>
      </c>
      <c r="F391" s="3" t="s">
        <v>329</v>
      </c>
      <c r="H391" s="32" t="s">
        <v>426</v>
      </c>
      <c r="I391" s="4">
        <v>2.74</v>
      </c>
      <c r="K391" s="32" t="s">
        <v>425</v>
      </c>
      <c r="P391" s="3" t="s">
        <v>68</v>
      </c>
      <c r="Q391" s="26" t="s">
        <v>77</v>
      </c>
      <c r="R391" s="3" t="s">
        <v>424</v>
      </c>
      <c r="S391" s="3" t="s">
        <v>423</v>
      </c>
      <c r="T391" s="3" t="s">
        <v>1088</v>
      </c>
      <c r="U391" s="3" t="s">
        <v>48</v>
      </c>
      <c r="V391" s="47" t="s">
        <v>421</v>
      </c>
    </row>
    <row r="392" spans="1:42" x14ac:dyDescent="0.35">
      <c r="A392" s="2"/>
      <c r="B392" s="3" t="s">
        <v>377</v>
      </c>
      <c r="C392" s="3" t="s">
        <v>398</v>
      </c>
      <c r="D392" s="2" t="s">
        <v>420</v>
      </c>
      <c r="E392" s="3" t="s">
        <v>359</v>
      </c>
      <c r="F392" s="3" t="s">
        <v>31</v>
      </c>
      <c r="G392" s="3" t="s">
        <v>1106</v>
      </c>
      <c r="H392" s="32" t="s">
        <v>1155</v>
      </c>
      <c r="I392" s="4">
        <f>AVERAGE(3.48, 3.17)</f>
        <v>3.3250000000000002</v>
      </c>
      <c r="J392" s="4">
        <f>AVERAGE(0.345,0.272)</f>
        <v>0.3085</v>
      </c>
      <c r="K392" s="32">
        <v>19</v>
      </c>
      <c r="P392" s="6" t="s">
        <v>74</v>
      </c>
      <c r="Q392" s="39" t="s">
        <v>1108</v>
      </c>
      <c r="R392" s="3" t="s">
        <v>51</v>
      </c>
      <c r="S392" s="3" t="s">
        <v>76</v>
      </c>
      <c r="T392" s="3" t="s">
        <v>1088</v>
      </c>
      <c r="U392" s="3" t="s">
        <v>48</v>
      </c>
      <c r="V392" s="44" t="s">
        <v>75</v>
      </c>
    </row>
    <row r="393" spans="1:42" s="2" customFormat="1" ht="14" x14ac:dyDescent="0.3">
      <c r="B393" s="3" t="s">
        <v>377</v>
      </c>
      <c r="C393" s="3" t="s">
        <v>398</v>
      </c>
      <c r="D393" s="2" t="s">
        <v>420</v>
      </c>
      <c r="E393" s="3" t="s">
        <v>359</v>
      </c>
      <c r="F393" s="3" t="s">
        <v>31</v>
      </c>
      <c r="G393" s="3" t="s">
        <v>452</v>
      </c>
      <c r="H393" s="34"/>
      <c r="I393" s="4">
        <v>2.2400000000000002</v>
      </c>
      <c r="J393" s="4"/>
      <c r="K393" s="32">
        <v>8</v>
      </c>
      <c r="L393" s="32"/>
      <c r="M393" s="4"/>
      <c r="N393" s="4"/>
      <c r="O393" s="32"/>
      <c r="P393" s="3" t="s">
        <v>74</v>
      </c>
      <c r="Q393" s="26" t="s">
        <v>225</v>
      </c>
      <c r="R393" s="3" t="s">
        <v>454</v>
      </c>
      <c r="S393" s="3" t="s">
        <v>1094</v>
      </c>
      <c r="T393" s="3" t="s">
        <v>49</v>
      </c>
      <c r="U393" s="3" t="s">
        <v>48</v>
      </c>
      <c r="V393" s="44" t="s">
        <v>453</v>
      </c>
      <c r="W393" s="3"/>
    </row>
    <row r="394" spans="1:42" x14ac:dyDescent="0.35">
      <c r="A394" s="2"/>
      <c r="B394" s="3" t="s">
        <v>377</v>
      </c>
      <c r="C394" s="3" t="s">
        <v>398</v>
      </c>
      <c r="D394" s="2" t="s">
        <v>420</v>
      </c>
      <c r="E394" s="3" t="s">
        <v>359</v>
      </c>
      <c r="F394" s="3" t="s">
        <v>31</v>
      </c>
      <c r="G394" s="3" t="s">
        <v>54</v>
      </c>
      <c r="H394" s="32" t="s">
        <v>419</v>
      </c>
      <c r="I394" s="4">
        <v>4.45</v>
      </c>
      <c r="J394" s="4">
        <v>0.76</v>
      </c>
      <c r="K394" s="32">
        <v>91</v>
      </c>
      <c r="P394" s="3" t="s">
        <v>52</v>
      </c>
      <c r="Q394" s="26" t="s">
        <v>40</v>
      </c>
      <c r="R394" s="3" t="s">
        <v>51</v>
      </c>
      <c r="S394" s="3" t="s">
        <v>50</v>
      </c>
      <c r="T394" s="3" t="s">
        <v>49</v>
      </c>
      <c r="U394" s="3" t="s">
        <v>48</v>
      </c>
      <c r="V394" s="44" t="s">
        <v>47</v>
      </c>
    </row>
    <row r="395" spans="1:42" x14ac:dyDescent="0.35">
      <c r="A395" s="2"/>
      <c r="B395" s="3" t="s">
        <v>377</v>
      </c>
      <c r="C395" s="3" t="s">
        <v>398</v>
      </c>
      <c r="D395" s="3" t="s">
        <v>418</v>
      </c>
      <c r="E395" s="3" t="s">
        <v>359</v>
      </c>
      <c r="F395" s="3" t="s">
        <v>31</v>
      </c>
      <c r="G395" s="3" t="s">
        <v>1156</v>
      </c>
      <c r="H395" s="32" t="s">
        <v>417</v>
      </c>
      <c r="I395" s="4">
        <v>3.15</v>
      </c>
      <c r="J395" s="4">
        <v>0.8</v>
      </c>
      <c r="K395" s="32">
        <v>16</v>
      </c>
      <c r="P395" s="3" t="s">
        <v>52</v>
      </c>
      <c r="Q395" s="26" t="s">
        <v>40</v>
      </c>
      <c r="R395" s="3" t="s">
        <v>51</v>
      </c>
      <c r="S395" s="3" t="s">
        <v>50</v>
      </c>
      <c r="T395" s="3" t="s">
        <v>49</v>
      </c>
      <c r="U395" s="3" t="s">
        <v>48</v>
      </c>
      <c r="V395" s="44" t="s">
        <v>47</v>
      </c>
    </row>
    <row r="396" spans="1:42" x14ac:dyDescent="0.35">
      <c r="A396" s="2"/>
      <c r="B396" s="3" t="s">
        <v>377</v>
      </c>
      <c r="C396" s="3" t="s">
        <v>398</v>
      </c>
      <c r="D396" s="3" t="s">
        <v>416</v>
      </c>
      <c r="E396" s="3" t="s">
        <v>359</v>
      </c>
      <c r="F396" s="3" t="s">
        <v>42</v>
      </c>
      <c r="G396" s="1"/>
      <c r="H396" s="32" t="s">
        <v>415</v>
      </c>
      <c r="I396" s="4">
        <v>1.4471428571428571</v>
      </c>
      <c r="J396" s="4">
        <v>0.2790094236820711</v>
      </c>
      <c r="K396" s="32">
        <v>18</v>
      </c>
      <c r="P396" s="3" t="s">
        <v>41</v>
      </c>
      <c r="Q396" s="26" t="s">
        <v>40</v>
      </c>
      <c r="R396" s="3" t="s">
        <v>39</v>
      </c>
      <c r="S396" s="3" t="s">
        <v>38</v>
      </c>
      <c r="U396" s="3" t="s">
        <v>37</v>
      </c>
      <c r="V396" s="10" t="s">
        <v>36</v>
      </c>
      <c r="W396" s="2"/>
    </row>
    <row r="397" spans="1:42" x14ac:dyDescent="0.35">
      <c r="A397" s="2"/>
      <c r="B397" s="3" t="s">
        <v>377</v>
      </c>
      <c r="C397" s="3" t="s">
        <v>398</v>
      </c>
      <c r="D397" s="3" t="s">
        <v>404</v>
      </c>
      <c r="E397" s="3" t="s">
        <v>359</v>
      </c>
      <c r="F397" s="3" t="s">
        <v>59</v>
      </c>
      <c r="G397" s="3" t="s">
        <v>1055</v>
      </c>
      <c r="H397" s="32" t="s">
        <v>414</v>
      </c>
      <c r="I397" s="4">
        <v>2.2999999999999998</v>
      </c>
      <c r="J397" s="4">
        <v>0.47</v>
      </c>
      <c r="K397" s="32">
        <v>25</v>
      </c>
      <c r="P397" s="3" t="s">
        <v>88</v>
      </c>
      <c r="Q397" s="26" t="s">
        <v>40</v>
      </c>
      <c r="R397" s="3" t="s">
        <v>39</v>
      </c>
      <c r="S397" s="3" t="s">
        <v>273</v>
      </c>
      <c r="U397" s="3" t="s">
        <v>37</v>
      </c>
      <c r="V397" s="10" t="s">
        <v>272</v>
      </c>
      <c r="W397" s="2"/>
    </row>
    <row r="398" spans="1:42" x14ac:dyDescent="0.35">
      <c r="A398" s="2"/>
      <c r="B398" s="3" t="s">
        <v>377</v>
      </c>
      <c r="C398" s="3" t="s">
        <v>398</v>
      </c>
      <c r="D398" s="3" t="s">
        <v>404</v>
      </c>
      <c r="E398" s="3" t="s">
        <v>359</v>
      </c>
      <c r="F398" s="3" t="s">
        <v>42</v>
      </c>
      <c r="G398" s="3" t="s">
        <v>1055</v>
      </c>
      <c r="H398" s="32" t="s">
        <v>413</v>
      </c>
      <c r="I398" s="4">
        <v>1.48</v>
      </c>
      <c r="K398" s="32">
        <v>107</v>
      </c>
      <c r="P398" s="3" t="s">
        <v>88</v>
      </c>
      <c r="Q398" s="26" t="s">
        <v>40</v>
      </c>
      <c r="R398" s="3" t="s">
        <v>39</v>
      </c>
      <c r="S398" s="3" t="s">
        <v>38</v>
      </c>
      <c r="U398" s="3" t="s">
        <v>37</v>
      </c>
      <c r="V398" s="10" t="s">
        <v>36</v>
      </c>
      <c r="W398" s="2"/>
    </row>
    <row r="399" spans="1:42" x14ac:dyDescent="0.35">
      <c r="A399" s="2"/>
      <c r="B399" s="3" t="s">
        <v>377</v>
      </c>
      <c r="C399" s="3" t="s">
        <v>398</v>
      </c>
      <c r="D399" s="3" t="s">
        <v>404</v>
      </c>
      <c r="E399" s="3" t="s">
        <v>359</v>
      </c>
      <c r="F399" s="3" t="s">
        <v>59</v>
      </c>
      <c r="G399" s="3" t="s">
        <v>1055</v>
      </c>
      <c r="H399" s="32" t="s">
        <v>1152</v>
      </c>
      <c r="I399" s="4">
        <v>1.91</v>
      </c>
      <c r="J399" s="4">
        <v>0.43</v>
      </c>
      <c r="K399" s="32">
        <v>54</v>
      </c>
      <c r="P399" s="3" t="s">
        <v>88</v>
      </c>
      <c r="Q399" s="26" t="s">
        <v>40</v>
      </c>
      <c r="R399" s="3" t="s">
        <v>39</v>
      </c>
      <c r="S399" s="3" t="s">
        <v>399</v>
      </c>
      <c r="U399" s="3" t="s">
        <v>37</v>
      </c>
      <c r="V399" s="10" t="s">
        <v>272</v>
      </c>
      <c r="W399" s="2"/>
    </row>
    <row r="400" spans="1:42" x14ac:dyDescent="0.35">
      <c r="A400" s="2"/>
      <c r="B400" s="3" t="s">
        <v>377</v>
      </c>
      <c r="C400" s="3" t="s">
        <v>398</v>
      </c>
      <c r="D400" s="3" t="s">
        <v>404</v>
      </c>
      <c r="E400" s="3" t="s">
        <v>359</v>
      </c>
      <c r="F400" s="3" t="s">
        <v>31</v>
      </c>
      <c r="G400" s="3" t="s">
        <v>54</v>
      </c>
      <c r="H400" s="32" t="s">
        <v>412</v>
      </c>
      <c r="I400" s="4">
        <v>3.94</v>
      </c>
      <c r="J400" s="4">
        <v>0.64500000000000002</v>
      </c>
      <c r="K400" s="32">
        <v>30</v>
      </c>
      <c r="P400" s="3" t="s">
        <v>52</v>
      </c>
      <c r="Q400" s="26" t="s">
        <v>40</v>
      </c>
      <c r="R400" s="3" t="s">
        <v>51</v>
      </c>
      <c r="S400" s="3" t="s">
        <v>50</v>
      </c>
      <c r="T400" s="3" t="s">
        <v>49</v>
      </c>
      <c r="U400" s="3" t="s">
        <v>48</v>
      </c>
      <c r="V400" s="10" t="s">
        <v>47</v>
      </c>
    </row>
    <row r="401" spans="1:64" x14ac:dyDescent="0.35">
      <c r="A401" s="2"/>
      <c r="B401" s="2" t="s">
        <v>377</v>
      </c>
      <c r="C401" s="2" t="s">
        <v>398</v>
      </c>
      <c r="D401" s="2" t="s">
        <v>404</v>
      </c>
      <c r="E401" s="2" t="s">
        <v>359</v>
      </c>
      <c r="F401" s="2" t="s">
        <v>1763</v>
      </c>
      <c r="G401" s="2"/>
      <c r="H401" s="34" t="s">
        <v>1768</v>
      </c>
      <c r="I401" s="5">
        <v>1.9227042048078062</v>
      </c>
      <c r="J401" s="5">
        <v>0.51589267002815042</v>
      </c>
      <c r="K401" s="34"/>
      <c r="L401" s="34"/>
      <c r="M401" s="5"/>
      <c r="N401" s="5"/>
      <c r="O401" s="34">
        <v>7</v>
      </c>
      <c r="P401" s="2" t="s">
        <v>798</v>
      </c>
      <c r="Q401" s="42" t="s">
        <v>1139</v>
      </c>
      <c r="R401" s="2" t="s">
        <v>1765</v>
      </c>
      <c r="S401" s="2" t="s">
        <v>1766</v>
      </c>
      <c r="T401" s="2"/>
      <c r="U401" s="2" t="s">
        <v>24</v>
      </c>
      <c r="V401" s="44" t="s">
        <v>1767</v>
      </c>
      <c r="W401" s="2"/>
    </row>
    <row r="402" spans="1:64" x14ac:dyDescent="0.35">
      <c r="A402" s="2"/>
      <c r="B402" s="2" t="s">
        <v>377</v>
      </c>
      <c r="C402" s="2" t="s">
        <v>398</v>
      </c>
      <c r="D402" s="2" t="s">
        <v>408</v>
      </c>
      <c r="E402" s="2" t="s">
        <v>359</v>
      </c>
      <c r="F402" s="2" t="s">
        <v>19</v>
      </c>
      <c r="G402" s="2" t="s">
        <v>285</v>
      </c>
      <c r="H402" s="34" t="s">
        <v>410</v>
      </c>
      <c r="I402" s="5">
        <v>2.5099999999999998</v>
      </c>
      <c r="J402" s="5">
        <v>0.182</v>
      </c>
      <c r="K402" s="34">
        <v>38</v>
      </c>
      <c r="L402" s="34"/>
      <c r="M402" s="5">
        <v>1.42</v>
      </c>
      <c r="N402" s="5"/>
      <c r="O402" s="34"/>
      <c r="P402" s="2" t="s">
        <v>283</v>
      </c>
      <c r="Q402" s="39" t="s">
        <v>282</v>
      </c>
      <c r="R402" s="2" t="s">
        <v>26</v>
      </c>
      <c r="S402" s="2" t="s">
        <v>281</v>
      </c>
      <c r="T402" s="2"/>
      <c r="U402" s="2" t="s">
        <v>24</v>
      </c>
      <c r="V402" s="47" t="s">
        <v>280</v>
      </c>
      <c r="W402" s="2"/>
    </row>
    <row r="403" spans="1:64" x14ac:dyDescent="0.35">
      <c r="A403" s="2"/>
      <c r="B403" s="2" t="s">
        <v>377</v>
      </c>
      <c r="C403" s="2" t="s">
        <v>398</v>
      </c>
      <c r="D403" s="2" t="s">
        <v>408</v>
      </c>
      <c r="E403" s="3" t="s">
        <v>359</v>
      </c>
      <c r="F403" s="2" t="s">
        <v>1037</v>
      </c>
      <c r="G403" s="2" t="s">
        <v>1036</v>
      </c>
      <c r="H403" s="34"/>
      <c r="I403" s="5">
        <f>3.72/2</f>
        <v>1.86</v>
      </c>
      <c r="J403" s="5">
        <f>2.4/2</f>
        <v>1.2</v>
      </c>
      <c r="K403" s="34">
        <v>33</v>
      </c>
      <c r="L403" s="34"/>
      <c r="M403" s="5"/>
      <c r="N403" s="5"/>
      <c r="O403" s="34"/>
      <c r="P403" s="2" t="s">
        <v>88</v>
      </c>
      <c r="Q403" s="39" t="s">
        <v>77</v>
      </c>
      <c r="R403" s="2" t="s">
        <v>66</v>
      </c>
      <c r="S403" s="2" t="s">
        <v>396</v>
      </c>
      <c r="T403" s="2"/>
      <c r="U403" s="2" t="s">
        <v>37</v>
      </c>
      <c r="V403" s="44" t="s">
        <v>395</v>
      </c>
      <c r="W403" s="2"/>
    </row>
    <row r="404" spans="1:64" x14ac:dyDescent="0.35">
      <c r="A404" s="2"/>
      <c r="B404" s="3" t="s">
        <v>377</v>
      </c>
      <c r="C404" s="3" t="s">
        <v>398</v>
      </c>
      <c r="D404" s="3" t="s">
        <v>90</v>
      </c>
      <c r="E404" s="3" t="s">
        <v>359</v>
      </c>
      <c r="F404" s="3" t="s">
        <v>1046</v>
      </c>
      <c r="H404" s="32" t="s">
        <v>411</v>
      </c>
      <c r="I404" s="4">
        <v>2.42</v>
      </c>
      <c r="J404" s="4">
        <v>1.92</v>
      </c>
      <c r="K404" s="32">
        <v>16</v>
      </c>
      <c r="M404" s="4">
        <v>1.4</v>
      </c>
      <c r="N404" s="4">
        <v>0.11</v>
      </c>
      <c r="O404" s="32">
        <v>7</v>
      </c>
      <c r="P404" s="3" t="s">
        <v>120</v>
      </c>
      <c r="Q404" s="26" t="s">
        <v>119</v>
      </c>
      <c r="R404" s="3" t="s">
        <v>15</v>
      </c>
      <c r="S404" s="3" t="s">
        <v>118</v>
      </c>
      <c r="U404" s="3" t="s">
        <v>13</v>
      </c>
      <c r="V404" s="10" t="s">
        <v>117</v>
      </c>
    </row>
    <row r="405" spans="1:64" s="12" customFormat="1" x14ac:dyDescent="0.35">
      <c r="A405" s="7" t="s">
        <v>986</v>
      </c>
      <c r="B405" s="7"/>
      <c r="C405" s="7" t="s">
        <v>398</v>
      </c>
      <c r="D405" s="7"/>
      <c r="E405" s="7" t="s">
        <v>359</v>
      </c>
      <c r="F405" s="7"/>
      <c r="G405" s="7"/>
      <c r="H405" s="33"/>
      <c r="I405" s="8">
        <f>AVERAGE(I367:I404)</f>
        <v>2.5337950904946025</v>
      </c>
      <c r="J405" s="8">
        <f>STDEV((I367:I404))/SQRT(COUNT(I367:I404))</f>
        <v>0.19305257396114767</v>
      </c>
      <c r="K405" s="33"/>
      <c r="L405" s="33"/>
      <c r="M405" s="8">
        <f>AVERAGE(M367:M404)</f>
        <v>1.4514285714285715</v>
      </c>
      <c r="N405" s="8">
        <f>STDEV((M367:M404))/SQRT(COUNT(M367:M404))</f>
        <v>0.11481721646721313</v>
      </c>
      <c r="O405" s="33"/>
      <c r="P405" s="7"/>
      <c r="Q405" s="38"/>
      <c r="R405" s="7"/>
      <c r="S405" s="7"/>
      <c r="T405" s="7"/>
      <c r="U405" s="7"/>
      <c r="V405" s="43"/>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row>
    <row r="406" spans="1:64" s="12" customFormat="1" x14ac:dyDescent="0.35">
      <c r="A406" s="7"/>
      <c r="C406" s="7" t="s">
        <v>398</v>
      </c>
      <c r="D406" s="7" t="s">
        <v>1154</v>
      </c>
      <c r="E406" s="7" t="s">
        <v>359</v>
      </c>
      <c r="F406" s="7"/>
      <c r="G406" s="7"/>
      <c r="H406" s="33"/>
      <c r="I406" s="8">
        <f>AVERAGE(I368,I378:I378,I379:I386,I388:I390,I396:I399,I401:I404)</f>
        <v>1.8649723023000133</v>
      </c>
      <c r="J406" s="8">
        <f>STDEV(I368,I378:I378,I379:I386,I388:I390,I396:I399,I401:I404)/SQRT(COUNT(I368,I378:I378,I379:I386,I388:I390,I396:I399,I401:I404))</f>
        <v>0.18929449830015008</v>
      </c>
      <c r="K406" s="33"/>
      <c r="L406" s="33"/>
      <c r="M406" s="8">
        <f>AVERAGE(M367:M368,M378:M378,M379:M386,M388:M390,M396:M399,M401:M404)</f>
        <v>1.41</v>
      </c>
      <c r="N406" s="8">
        <f>STDEV(M368,M378:M378,M379:M386,M388:M390,M396:M399,M401:M404)/SQRT(COUNT(M368,M378:M378,M379:M386,M388:M390,M396:M399,M401:M404))</f>
        <v>4.979959839195492E-2</v>
      </c>
      <c r="O406" s="33"/>
      <c r="P406" s="7"/>
      <c r="Q406" s="38"/>
      <c r="R406" s="7"/>
      <c r="S406" s="7"/>
      <c r="T406" s="7"/>
      <c r="U406" s="7"/>
      <c r="V406" s="43"/>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row>
    <row r="407" spans="1:64" x14ac:dyDescent="0.35">
      <c r="A407" s="2"/>
      <c r="B407" s="3" t="s">
        <v>377</v>
      </c>
      <c r="C407" s="3" t="s">
        <v>398</v>
      </c>
      <c r="D407" s="3" t="s">
        <v>402</v>
      </c>
      <c r="E407" s="3" t="s">
        <v>34</v>
      </c>
      <c r="F407" s="3" t="s">
        <v>1157</v>
      </c>
      <c r="I407" s="4">
        <v>5</v>
      </c>
      <c r="K407" s="32">
        <v>1</v>
      </c>
      <c r="P407" s="6" t="s">
        <v>74</v>
      </c>
      <c r="Q407" s="26" t="s">
        <v>245</v>
      </c>
      <c r="R407" s="3" t="s">
        <v>66</v>
      </c>
      <c r="S407" s="3" t="s">
        <v>65</v>
      </c>
      <c r="U407" s="3" t="s">
        <v>37</v>
      </c>
      <c r="V407" s="10" t="s">
        <v>72</v>
      </c>
      <c r="W407" s="2"/>
    </row>
    <row r="408" spans="1:64" x14ac:dyDescent="0.35">
      <c r="A408" s="2"/>
      <c r="B408" s="3" t="s">
        <v>377</v>
      </c>
      <c r="C408" s="3" t="s">
        <v>398</v>
      </c>
      <c r="D408" s="3" t="s">
        <v>402</v>
      </c>
      <c r="E408" s="3" t="s">
        <v>34</v>
      </c>
      <c r="F408" s="3" t="s">
        <v>31</v>
      </c>
      <c r="G408" s="3" t="s">
        <v>54</v>
      </c>
      <c r="H408" s="32" t="s">
        <v>405</v>
      </c>
      <c r="I408" s="4">
        <v>3.08</v>
      </c>
      <c r="J408" s="4">
        <v>0.48</v>
      </c>
      <c r="K408" s="32">
        <v>16</v>
      </c>
      <c r="P408" s="3" t="s">
        <v>52</v>
      </c>
      <c r="Q408" s="26" t="s">
        <v>40</v>
      </c>
      <c r="R408" s="3" t="s">
        <v>51</v>
      </c>
      <c r="S408" s="3" t="s">
        <v>50</v>
      </c>
      <c r="T408" s="3" t="s">
        <v>49</v>
      </c>
      <c r="U408" s="3" t="s">
        <v>48</v>
      </c>
      <c r="V408" s="10" t="s">
        <v>47</v>
      </c>
    </row>
    <row r="409" spans="1:64" x14ac:dyDescent="0.35">
      <c r="A409" s="2"/>
      <c r="B409" s="2" t="s">
        <v>377</v>
      </c>
      <c r="C409" s="2" t="s">
        <v>398</v>
      </c>
      <c r="D409" s="2" t="s">
        <v>404</v>
      </c>
      <c r="E409" s="49" t="s">
        <v>34</v>
      </c>
      <c r="F409" s="2" t="s">
        <v>31</v>
      </c>
      <c r="G409" s="2"/>
      <c r="H409" s="34"/>
      <c r="I409" s="5">
        <v>1.87</v>
      </c>
      <c r="J409" s="5"/>
      <c r="K409" s="34"/>
      <c r="L409" s="34"/>
      <c r="M409" s="5">
        <v>1.42</v>
      </c>
      <c r="N409" s="5"/>
      <c r="O409" s="34"/>
      <c r="P409" s="2" t="s">
        <v>28</v>
      </c>
      <c r="Q409" s="39" t="s">
        <v>87</v>
      </c>
      <c r="R409" s="2" t="s">
        <v>26</v>
      </c>
      <c r="S409" s="2" t="s">
        <v>25</v>
      </c>
      <c r="T409" s="2"/>
      <c r="U409" s="2" t="s">
        <v>24</v>
      </c>
      <c r="V409" s="44" t="s">
        <v>23</v>
      </c>
    </row>
    <row r="410" spans="1:64" x14ac:dyDescent="0.35">
      <c r="A410" s="2"/>
      <c r="B410" s="3" t="s">
        <v>377</v>
      </c>
      <c r="C410" s="3" t="s">
        <v>398</v>
      </c>
      <c r="D410" s="3" t="s">
        <v>402</v>
      </c>
      <c r="E410" s="3" t="s">
        <v>401</v>
      </c>
      <c r="F410" s="3" t="s">
        <v>59</v>
      </c>
      <c r="G410" s="3" t="s">
        <v>1055</v>
      </c>
      <c r="H410" s="32" t="s">
        <v>403</v>
      </c>
      <c r="I410" s="4">
        <v>5.04</v>
      </c>
      <c r="J410" s="4">
        <v>1.34</v>
      </c>
      <c r="K410" s="32">
        <v>16</v>
      </c>
      <c r="P410" s="3" t="s">
        <v>88</v>
      </c>
      <c r="Q410" s="26" t="s">
        <v>40</v>
      </c>
      <c r="R410" s="3" t="s">
        <v>39</v>
      </c>
      <c r="S410" s="3" t="s">
        <v>273</v>
      </c>
      <c r="U410" s="3" t="s">
        <v>37</v>
      </c>
      <c r="V410" s="10" t="s">
        <v>272</v>
      </c>
    </row>
    <row r="411" spans="1:64" x14ac:dyDescent="0.35">
      <c r="A411" s="2"/>
      <c r="B411" s="3" t="s">
        <v>377</v>
      </c>
      <c r="C411" s="3" t="s">
        <v>398</v>
      </c>
      <c r="D411" s="3" t="s">
        <v>402</v>
      </c>
      <c r="E411" s="3" t="s">
        <v>401</v>
      </c>
      <c r="F411" s="3" t="s">
        <v>59</v>
      </c>
      <c r="G411" s="3" t="s">
        <v>1055</v>
      </c>
      <c r="H411" s="32" t="s">
        <v>400</v>
      </c>
      <c r="I411" s="4">
        <v>3.35</v>
      </c>
      <c r="J411" s="4">
        <v>0.43</v>
      </c>
      <c r="K411" s="32">
        <v>25</v>
      </c>
      <c r="P411" s="3" t="s">
        <v>88</v>
      </c>
      <c r="Q411" s="26" t="s">
        <v>40</v>
      </c>
      <c r="R411" s="3" t="s">
        <v>39</v>
      </c>
      <c r="S411" s="3" t="s">
        <v>399</v>
      </c>
      <c r="U411" s="3" t="s">
        <v>37</v>
      </c>
      <c r="V411" s="10" t="s">
        <v>272</v>
      </c>
    </row>
    <row r="412" spans="1:64" s="12" customFormat="1" x14ac:dyDescent="0.35">
      <c r="A412" s="7" t="s">
        <v>987</v>
      </c>
      <c r="B412" s="7"/>
      <c r="C412" s="7" t="s">
        <v>398</v>
      </c>
      <c r="D412" s="7"/>
      <c r="E412" s="7" t="s">
        <v>34</v>
      </c>
      <c r="F412" s="7"/>
      <c r="G412" s="7"/>
      <c r="H412" s="33"/>
      <c r="I412" s="8">
        <f>AVERAGE(I407:I411)</f>
        <v>3.6680000000000001</v>
      </c>
      <c r="J412" s="8">
        <f>STDEV(I407:I411)/SQRT(COUNT(I407:I411))</f>
        <v>0.60565171509705207</v>
      </c>
      <c r="K412" s="33"/>
      <c r="L412" s="33"/>
      <c r="M412" s="8">
        <f>AVERAGE(M407:M411)</f>
        <v>1.42</v>
      </c>
      <c r="N412" s="8">
        <f>IF(COUNT(M407:M411)=1,SUM(N407:N411),STDEV(M407:M411))</f>
        <v>0</v>
      </c>
      <c r="O412" s="33"/>
      <c r="P412" s="7"/>
      <c r="Q412" s="38"/>
      <c r="R412" s="7"/>
      <c r="S412" s="7"/>
      <c r="T412" s="7"/>
      <c r="U412" s="7"/>
      <c r="V412" s="13"/>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row>
    <row r="413" spans="1:64" x14ac:dyDescent="0.35">
      <c r="A413" s="2"/>
      <c r="B413" s="2"/>
      <c r="C413" s="2" t="s">
        <v>989</v>
      </c>
      <c r="D413" s="2" t="s">
        <v>1739</v>
      </c>
      <c r="E413" s="2" t="s">
        <v>1740</v>
      </c>
      <c r="F413" s="2" t="s">
        <v>1483</v>
      </c>
      <c r="G413" s="2"/>
      <c r="H413" s="34"/>
      <c r="I413" s="5"/>
      <c r="J413" s="5"/>
      <c r="K413" s="34"/>
      <c r="L413" s="34"/>
      <c r="M413" s="5">
        <v>1.52</v>
      </c>
      <c r="N413" s="5">
        <v>0.12</v>
      </c>
      <c r="O413" s="34">
        <v>48</v>
      </c>
      <c r="P413" s="2"/>
      <c r="Q413" s="39"/>
      <c r="R413" s="2" t="s">
        <v>502</v>
      </c>
      <c r="S413" s="2" t="s">
        <v>1734</v>
      </c>
      <c r="T413" s="2"/>
      <c r="U413" s="2" t="s">
        <v>13</v>
      </c>
      <c r="V413" s="44" t="s">
        <v>1735</v>
      </c>
      <c r="W413" s="2"/>
    </row>
    <row r="414" spans="1:64" s="12" customFormat="1" x14ac:dyDescent="0.35">
      <c r="A414" s="7" t="s">
        <v>990</v>
      </c>
      <c r="B414" s="7"/>
      <c r="C414" s="7" t="s">
        <v>989</v>
      </c>
      <c r="D414" s="7"/>
      <c r="E414" s="7" t="s">
        <v>508</v>
      </c>
      <c r="F414" s="7"/>
      <c r="G414" s="7"/>
      <c r="H414" s="33"/>
      <c r="I414" s="8"/>
      <c r="J414" s="8"/>
      <c r="K414" s="33"/>
      <c r="L414" s="33"/>
      <c r="M414" s="8">
        <f>M413</f>
        <v>1.52</v>
      </c>
      <c r="N414" s="8">
        <f>N413</f>
        <v>0.12</v>
      </c>
      <c r="O414" s="33"/>
      <c r="P414" s="7"/>
      <c r="Q414" s="38"/>
      <c r="R414" s="7"/>
      <c r="S414" s="7"/>
      <c r="T414" s="7"/>
      <c r="U414" s="7"/>
      <c r="V414" s="13"/>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row>
    <row r="415" spans="1:64" s="2" customFormat="1" ht="14" x14ac:dyDescent="0.3">
      <c r="B415" s="3" t="s">
        <v>81</v>
      </c>
      <c r="C415" s="3" t="s">
        <v>83</v>
      </c>
      <c r="D415" s="3" t="s">
        <v>333</v>
      </c>
      <c r="E415" s="3" t="s">
        <v>359</v>
      </c>
      <c r="F415" s="3" t="s">
        <v>31</v>
      </c>
      <c r="G415" s="3" t="s">
        <v>1083</v>
      </c>
      <c r="H415" s="32"/>
      <c r="I415" s="4">
        <v>3.29</v>
      </c>
      <c r="J415" s="4"/>
      <c r="K415" s="32"/>
      <c r="L415" s="32"/>
      <c r="M415" s="4"/>
      <c r="N415" s="4"/>
      <c r="O415" s="32"/>
      <c r="P415" s="3"/>
      <c r="Q415" s="26" t="s">
        <v>40</v>
      </c>
      <c r="R415" s="3" t="s">
        <v>39</v>
      </c>
      <c r="S415" s="3" t="s">
        <v>324</v>
      </c>
      <c r="T415" s="3"/>
      <c r="U415" s="3" t="s">
        <v>37</v>
      </c>
      <c r="V415" s="44" t="s">
        <v>374</v>
      </c>
      <c r="W415" s="3"/>
    </row>
    <row r="416" spans="1:64" s="2" customFormat="1" ht="14" x14ac:dyDescent="0.3">
      <c r="B416" s="3" t="s">
        <v>81</v>
      </c>
      <c r="C416" s="3" t="s">
        <v>83</v>
      </c>
      <c r="D416" s="3" t="s">
        <v>333</v>
      </c>
      <c r="E416" s="3" t="s">
        <v>359</v>
      </c>
      <c r="F416" s="3" t="s">
        <v>31</v>
      </c>
      <c r="G416" s="3" t="s">
        <v>1083</v>
      </c>
      <c r="H416" s="32"/>
      <c r="I416" s="4">
        <v>2.92</v>
      </c>
      <c r="J416" s="4"/>
      <c r="K416" s="32"/>
      <c r="L416" s="32"/>
      <c r="M416" s="4"/>
      <c r="N416" s="4"/>
      <c r="O416" s="32"/>
      <c r="P416" s="3"/>
      <c r="Q416" s="26" t="s">
        <v>27</v>
      </c>
      <c r="R416" s="3" t="s">
        <v>39</v>
      </c>
      <c r="S416" s="3" t="s">
        <v>1082</v>
      </c>
      <c r="T416" s="3"/>
      <c r="U416" s="3" t="s">
        <v>37</v>
      </c>
      <c r="V416" s="44" t="s">
        <v>374</v>
      </c>
      <c r="W416" s="3"/>
    </row>
    <row r="417" spans="1:42" s="2" customFormat="1" ht="14" x14ac:dyDescent="0.3">
      <c r="B417" s="3" t="s">
        <v>81</v>
      </c>
      <c r="C417" s="3" t="s">
        <v>83</v>
      </c>
      <c r="D417" s="3" t="s">
        <v>333</v>
      </c>
      <c r="E417" s="3" t="s">
        <v>359</v>
      </c>
      <c r="F417" s="3" t="s">
        <v>31</v>
      </c>
      <c r="G417" s="27" t="s">
        <v>1076</v>
      </c>
      <c r="I417" s="4">
        <v>2.583968253968254</v>
      </c>
      <c r="J417" s="4">
        <v>8.8835978835978852E-2</v>
      </c>
      <c r="K417" s="32">
        <v>15</v>
      </c>
      <c r="L417" s="32"/>
      <c r="M417" s="4"/>
      <c r="N417" s="4"/>
      <c r="O417" s="32"/>
      <c r="P417" s="3"/>
      <c r="Q417" s="26" t="s">
        <v>1075</v>
      </c>
      <c r="R417" s="3" t="s">
        <v>39</v>
      </c>
      <c r="S417" s="3" t="s">
        <v>1077</v>
      </c>
      <c r="T417" s="3"/>
      <c r="U417" s="3" t="s">
        <v>37</v>
      </c>
      <c r="V417" s="44" t="s">
        <v>664</v>
      </c>
      <c r="W417" s="3"/>
    </row>
    <row r="418" spans="1:42" s="2" customFormat="1" ht="14" x14ac:dyDescent="0.3">
      <c r="B418" s="3" t="s">
        <v>81</v>
      </c>
      <c r="C418" s="3" t="s">
        <v>83</v>
      </c>
      <c r="D418" s="3" t="s">
        <v>333</v>
      </c>
      <c r="E418" s="3" t="s">
        <v>359</v>
      </c>
      <c r="F418" s="3" t="s">
        <v>31</v>
      </c>
      <c r="G418" s="27" t="s">
        <v>1076</v>
      </c>
      <c r="I418" s="4">
        <v>3.1775709219858159</v>
      </c>
      <c r="J418" s="4">
        <v>8.9308510638297881E-2</v>
      </c>
      <c r="K418" s="32">
        <v>15</v>
      </c>
      <c r="L418" s="32"/>
      <c r="M418" s="4"/>
      <c r="N418" s="4"/>
      <c r="O418" s="32"/>
      <c r="P418" s="3"/>
      <c r="Q418" s="26" t="s">
        <v>1075</v>
      </c>
      <c r="R418" s="3" t="s">
        <v>39</v>
      </c>
      <c r="S418" s="3" t="s">
        <v>1078</v>
      </c>
      <c r="T418" s="3"/>
      <c r="U418" s="3" t="s">
        <v>37</v>
      </c>
      <c r="V418" s="44" t="s">
        <v>664</v>
      </c>
      <c r="W418" s="3"/>
    </row>
    <row r="419" spans="1:42" s="2" customFormat="1" ht="14" x14ac:dyDescent="0.3">
      <c r="B419" s="3" t="s">
        <v>81</v>
      </c>
      <c r="C419" s="3" t="s">
        <v>83</v>
      </c>
      <c r="D419" s="3" t="s">
        <v>333</v>
      </c>
      <c r="E419" s="3" t="s">
        <v>359</v>
      </c>
      <c r="F419" s="3" t="s">
        <v>59</v>
      </c>
      <c r="G419" s="3" t="s">
        <v>1160</v>
      </c>
      <c r="H419" s="32"/>
      <c r="I419" s="4">
        <v>0.59</v>
      </c>
      <c r="J419" s="4">
        <v>0.11</v>
      </c>
      <c r="K419" s="32">
        <v>3</v>
      </c>
      <c r="L419" s="32"/>
      <c r="M419" s="4"/>
      <c r="N419" s="4"/>
      <c r="O419" s="32"/>
      <c r="P419" s="3"/>
      <c r="Q419" s="26" t="s">
        <v>40</v>
      </c>
      <c r="R419" s="3" t="s">
        <v>39</v>
      </c>
      <c r="S419" s="3" t="s">
        <v>324</v>
      </c>
      <c r="T419" s="3"/>
      <c r="U419" s="3" t="s">
        <v>37</v>
      </c>
      <c r="V419" s="10" t="s">
        <v>373</v>
      </c>
      <c r="W419" s="3"/>
    </row>
    <row r="420" spans="1:42" x14ac:dyDescent="0.35">
      <c r="A420" s="2"/>
      <c r="B420" s="2" t="s">
        <v>81</v>
      </c>
      <c r="C420" s="2" t="s">
        <v>83</v>
      </c>
      <c r="D420" s="2" t="s">
        <v>333</v>
      </c>
      <c r="E420" s="3" t="s">
        <v>359</v>
      </c>
      <c r="F420" s="2" t="s">
        <v>42</v>
      </c>
      <c r="G420" s="2"/>
      <c r="H420" s="34" t="s">
        <v>332</v>
      </c>
      <c r="I420" s="5">
        <v>0.92799999999999994</v>
      </c>
      <c r="J420" s="5">
        <v>0.13157000671378968</v>
      </c>
      <c r="K420" s="34">
        <v>35</v>
      </c>
      <c r="L420" s="34"/>
      <c r="M420" s="5"/>
      <c r="N420" s="5"/>
      <c r="O420" s="34"/>
      <c r="P420" s="2" t="s">
        <v>41</v>
      </c>
      <c r="Q420" s="39" t="s">
        <v>40</v>
      </c>
      <c r="R420" s="2" t="s">
        <v>39</v>
      </c>
      <c r="S420" s="2" t="s">
        <v>38</v>
      </c>
      <c r="T420" s="2"/>
      <c r="U420" s="2" t="s">
        <v>37</v>
      </c>
      <c r="V420" s="44" t="s">
        <v>36</v>
      </c>
      <c r="W420" s="2"/>
    </row>
    <row r="421" spans="1:42" s="2" customFormat="1" ht="14" x14ac:dyDescent="0.3">
      <c r="B421" s="3" t="s">
        <v>81</v>
      </c>
      <c r="C421" s="3" t="s">
        <v>83</v>
      </c>
      <c r="D421" s="3" t="s">
        <v>368</v>
      </c>
      <c r="E421" s="3" t="s">
        <v>1161</v>
      </c>
      <c r="F421" s="3" t="s">
        <v>329</v>
      </c>
      <c r="G421" s="3"/>
      <c r="H421" s="32" t="s">
        <v>372</v>
      </c>
      <c r="I421" s="4">
        <v>0.74</v>
      </c>
      <c r="J421" s="4">
        <v>0.37</v>
      </c>
      <c r="K421" s="32">
        <v>3</v>
      </c>
      <c r="L421" s="32" t="s">
        <v>371</v>
      </c>
      <c r="M421" s="4">
        <v>1.46</v>
      </c>
      <c r="N421" s="4">
        <v>0.27</v>
      </c>
      <c r="O421" s="32"/>
      <c r="P421" s="3" t="s">
        <v>28</v>
      </c>
      <c r="Q421" s="26" t="s">
        <v>194</v>
      </c>
      <c r="R421" s="3" t="s">
        <v>26</v>
      </c>
      <c r="S421" s="3" t="s">
        <v>25</v>
      </c>
      <c r="T421" s="3"/>
      <c r="U421" s="3" t="s">
        <v>24</v>
      </c>
      <c r="V421" s="44" t="s">
        <v>23</v>
      </c>
      <c r="W421" s="3"/>
    </row>
    <row r="422" spans="1:42" s="2" customFormat="1" ht="14" x14ac:dyDescent="0.3">
      <c r="B422" s="3" t="s">
        <v>81</v>
      </c>
      <c r="C422" s="3" t="s">
        <v>83</v>
      </c>
      <c r="D422" s="3" t="s">
        <v>368</v>
      </c>
      <c r="E422" s="3" t="s">
        <v>359</v>
      </c>
      <c r="F422" s="3" t="s">
        <v>31</v>
      </c>
      <c r="G422" s="3" t="s">
        <v>1044</v>
      </c>
      <c r="H422" s="32"/>
      <c r="I422" s="4">
        <v>3.1440000000000001</v>
      </c>
      <c r="J422" s="4">
        <v>0.44</v>
      </c>
      <c r="K422" s="32">
        <v>4</v>
      </c>
      <c r="L422" s="32"/>
      <c r="M422" s="4"/>
      <c r="N422" s="4"/>
      <c r="O422" s="32"/>
      <c r="P422" s="3"/>
      <c r="Q422" s="26" t="s">
        <v>40</v>
      </c>
      <c r="R422" s="3" t="s">
        <v>293</v>
      </c>
      <c r="S422" s="3" t="s">
        <v>361</v>
      </c>
      <c r="T422" s="3"/>
      <c r="U422" s="3" t="s">
        <v>13</v>
      </c>
      <c r="V422" s="44" t="s">
        <v>360</v>
      </c>
      <c r="W422" s="3"/>
    </row>
    <row r="423" spans="1:42" s="2" customFormat="1" ht="14" x14ac:dyDescent="0.3">
      <c r="B423" s="3" t="s">
        <v>81</v>
      </c>
      <c r="C423" s="3" t="s">
        <v>83</v>
      </c>
      <c r="D423" s="3" t="s">
        <v>1043</v>
      </c>
      <c r="E423" s="3" t="s">
        <v>359</v>
      </c>
      <c r="F423" s="3" t="s">
        <v>31</v>
      </c>
      <c r="G423" s="3" t="s">
        <v>1044</v>
      </c>
      <c r="H423" s="32"/>
      <c r="I423" s="4">
        <v>2.4973684210526317</v>
      </c>
      <c r="J423" s="4"/>
      <c r="K423" s="32">
        <v>12</v>
      </c>
      <c r="L423" s="32"/>
      <c r="M423" s="4"/>
      <c r="N423" s="4"/>
      <c r="O423" s="32"/>
      <c r="P423" s="6" t="s">
        <v>68</v>
      </c>
      <c r="Q423" s="26" t="s">
        <v>225</v>
      </c>
      <c r="R423" s="3" t="s">
        <v>370</v>
      </c>
      <c r="S423" s="3" t="s">
        <v>85</v>
      </c>
      <c r="T423" s="3"/>
      <c r="U423" s="3" t="s">
        <v>85</v>
      </c>
      <c r="V423" s="44" t="s">
        <v>369</v>
      </c>
      <c r="W423" s="3"/>
    </row>
    <row r="424" spans="1:42" s="2" customFormat="1" ht="14" x14ac:dyDescent="0.3">
      <c r="B424" s="3" t="s">
        <v>81</v>
      </c>
      <c r="C424" s="3" t="s">
        <v>83</v>
      </c>
      <c r="D424" s="3" t="s">
        <v>368</v>
      </c>
      <c r="E424" s="3" t="s">
        <v>359</v>
      </c>
      <c r="F424" s="3" t="s">
        <v>367</v>
      </c>
      <c r="G424" s="3"/>
      <c r="H424" s="32"/>
      <c r="I424" s="4"/>
      <c r="J424" s="4"/>
      <c r="K424" s="32"/>
      <c r="L424" s="32" t="s">
        <v>366</v>
      </c>
      <c r="M424" s="4">
        <f>(1.389+1.479)/2</f>
        <v>1.4340000000000002</v>
      </c>
      <c r="N424" s="4"/>
      <c r="O424" s="32"/>
      <c r="P424" s="3" t="s">
        <v>40</v>
      </c>
      <c r="Q424" s="26" t="s">
        <v>40</v>
      </c>
      <c r="R424" s="3" t="s">
        <v>40</v>
      </c>
      <c r="S424" s="3" t="s">
        <v>40</v>
      </c>
      <c r="T424" s="3"/>
      <c r="U424" s="3"/>
      <c r="V424" s="44" t="s">
        <v>365</v>
      </c>
      <c r="W424" s="3"/>
    </row>
    <row r="425" spans="1:42" s="2" customFormat="1" ht="14" x14ac:dyDescent="0.3">
      <c r="B425" s="2" t="s">
        <v>81</v>
      </c>
      <c r="C425" s="2" t="s">
        <v>83</v>
      </c>
      <c r="D425" s="2" t="s">
        <v>364</v>
      </c>
      <c r="E425" s="2" t="s">
        <v>359</v>
      </c>
      <c r="F425" s="2" t="s">
        <v>19</v>
      </c>
      <c r="G425" s="2" t="s">
        <v>285</v>
      </c>
      <c r="H425" s="34" t="s">
        <v>363</v>
      </c>
      <c r="I425" s="5">
        <v>1.78</v>
      </c>
      <c r="J425" s="5">
        <v>0.20399999999999999</v>
      </c>
      <c r="K425" s="34">
        <v>40</v>
      </c>
      <c r="L425" s="34"/>
      <c r="M425" s="5"/>
      <c r="N425" s="5"/>
      <c r="O425" s="34"/>
      <c r="P425" s="2" t="s">
        <v>283</v>
      </c>
      <c r="Q425" s="39" t="s">
        <v>282</v>
      </c>
      <c r="R425" s="2" t="s">
        <v>26</v>
      </c>
      <c r="S425" s="2" t="s">
        <v>281</v>
      </c>
      <c r="U425" s="2" t="s">
        <v>24</v>
      </c>
      <c r="V425" s="47" t="s">
        <v>280</v>
      </c>
    </row>
    <row r="426" spans="1:42" s="2" customFormat="1" ht="14" x14ac:dyDescent="0.3">
      <c r="B426" s="2" t="s">
        <v>81</v>
      </c>
      <c r="C426" s="2" t="s">
        <v>83</v>
      </c>
      <c r="D426" s="2" t="s">
        <v>362</v>
      </c>
      <c r="E426" s="2" t="s">
        <v>359</v>
      </c>
      <c r="F426" s="2" t="s">
        <v>31</v>
      </c>
      <c r="G426" s="3" t="s">
        <v>1044</v>
      </c>
      <c r="H426" s="34"/>
      <c r="I426" s="5">
        <v>2.52</v>
      </c>
      <c r="J426" s="5">
        <v>0.86</v>
      </c>
      <c r="K426" s="34">
        <v>4</v>
      </c>
      <c r="L426" s="34"/>
      <c r="M426" s="5"/>
      <c r="N426" s="5"/>
      <c r="O426" s="34"/>
      <c r="Q426" s="39" t="s">
        <v>40</v>
      </c>
      <c r="R426" s="2" t="s">
        <v>293</v>
      </c>
      <c r="S426" s="2" t="s">
        <v>361</v>
      </c>
      <c r="U426" s="2" t="s">
        <v>13</v>
      </c>
      <c r="V426" s="44" t="s">
        <v>360</v>
      </c>
    </row>
    <row r="427" spans="1:42" s="2" customFormat="1" ht="14" x14ac:dyDescent="0.3">
      <c r="B427" s="2" t="s">
        <v>81</v>
      </c>
      <c r="C427" s="2" t="s">
        <v>83</v>
      </c>
      <c r="D427" s="2" t="s">
        <v>362</v>
      </c>
      <c r="E427" s="2" t="s">
        <v>359</v>
      </c>
      <c r="F427" s="2" t="s">
        <v>1483</v>
      </c>
      <c r="H427" s="34"/>
      <c r="I427" s="5"/>
      <c r="J427" s="5"/>
      <c r="K427" s="34"/>
      <c r="L427" s="34" t="s">
        <v>1615</v>
      </c>
      <c r="M427" s="5">
        <v>1.03</v>
      </c>
      <c r="N427" s="5"/>
      <c r="O427" s="34"/>
      <c r="P427" s="251" t="s">
        <v>1484</v>
      </c>
      <c r="Q427" s="252" t="s">
        <v>87</v>
      </c>
      <c r="R427" s="252" t="s">
        <v>502</v>
      </c>
      <c r="S427" s="251" t="s">
        <v>1485</v>
      </c>
      <c r="T427" s="251" t="s">
        <v>1486</v>
      </c>
      <c r="U427" s="251" t="s">
        <v>13</v>
      </c>
      <c r="V427" s="286" t="s">
        <v>1487</v>
      </c>
      <c r="W427" s="286"/>
      <c r="X427" s="286"/>
      <c r="Y427" s="286"/>
      <c r="Z427" s="286"/>
      <c r="AA427" s="286"/>
      <c r="AB427" s="286"/>
      <c r="AC427" s="286"/>
      <c r="AD427" s="286"/>
      <c r="AE427" s="286"/>
      <c r="AF427" s="286"/>
      <c r="AG427" s="286"/>
      <c r="AH427" s="286"/>
      <c r="AI427" s="286"/>
      <c r="AJ427" s="286"/>
      <c r="AK427" s="286"/>
      <c r="AL427" s="286"/>
      <c r="AM427" s="286"/>
      <c r="AN427" s="286"/>
      <c r="AO427" s="286"/>
      <c r="AP427" s="286"/>
    </row>
    <row r="428" spans="1:42" s="7" customFormat="1" ht="14" x14ac:dyDescent="0.3">
      <c r="A428" s="7" t="s">
        <v>993</v>
      </c>
      <c r="C428" s="7" t="s">
        <v>83</v>
      </c>
      <c r="E428" s="7" t="s">
        <v>359</v>
      </c>
      <c r="H428" s="33"/>
      <c r="I428" s="8">
        <f>AVERAGE(I415:I427)</f>
        <v>2.1973552360915183</v>
      </c>
      <c r="J428" s="8">
        <f>STDEV(I415:I427)/SQRT(COUNT(I415:I427))</f>
        <v>0.30762355334327207</v>
      </c>
      <c r="K428" s="33"/>
      <c r="L428" s="33"/>
      <c r="M428" s="8">
        <f>AVERAGE(M415:M427)</f>
        <v>1.3080000000000001</v>
      </c>
      <c r="N428" s="8">
        <f>STDEV(M415:M427)/SQRT(COUNT(M415:M427))</f>
        <v>0.13920249039917787</v>
      </c>
      <c r="O428" s="33"/>
      <c r="Q428" s="38"/>
      <c r="V428" s="13"/>
    </row>
    <row r="429" spans="1:42" x14ac:dyDescent="0.35">
      <c r="A429" s="2"/>
      <c r="B429" s="2" t="s">
        <v>81</v>
      </c>
      <c r="C429" s="2" t="s">
        <v>83</v>
      </c>
      <c r="D429" s="2" t="s">
        <v>358</v>
      </c>
      <c r="E429" s="2" t="s">
        <v>338</v>
      </c>
      <c r="F429" s="2" t="s">
        <v>59</v>
      </c>
      <c r="G429" s="2"/>
      <c r="H429" s="34"/>
      <c r="I429" s="5">
        <v>0.56799999999999995</v>
      </c>
      <c r="J429" s="5">
        <v>0.152</v>
      </c>
      <c r="K429" s="34">
        <v>10</v>
      </c>
      <c r="L429" s="34"/>
      <c r="M429" s="5"/>
      <c r="N429" s="5"/>
      <c r="O429" s="34"/>
      <c r="P429" s="2"/>
      <c r="Q429" s="39" t="s">
        <v>40</v>
      </c>
      <c r="R429" s="2" t="s">
        <v>126</v>
      </c>
      <c r="S429" s="2" t="s">
        <v>126</v>
      </c>
      <c r="T429" s="2"/>
      <c r="U429" s="2" t="s">
        <v>126</v>
      </c>
      <c r="V429" s="44" t="s">
        <v>1162</v>
      </c>
      <c r="W429" s="2"/>
    </row>
    <row r="430" spans="1:42" x14ac:dyDescent="0.35">
      <c r="A430" s="2"/>
      <c r="B430" s="2" t="s">
        <v>81</v>
      </c>
      <c r="C430" s="2" t="s">
        <v>83</v>
      </c>
      <c r="D430" s="2" t="s">
        <v>357</v>
      </c>
      <c r="E430" s="2" t="s">
        <v>356</v>
      </c>
      <c r="F430" s="2" t="s">
        <v>19</v>
      </c>
      <c r="G430" s="2" t="s">
        <v>285</v>
      </c>
      <c r="H430" s="34" t="s">
        <v>355</v>
      </c>
      <c r="I430" s="5">
        <v>1.63</v>
      </c>
      <c r="J430" s="5">
        <v>0.32</v>
      </c>
      <c r="K430" s="34">
        <v>13</v>
      </c>
      <c r="L430" s="34"/>
      <c r="M430" s="5"/>
      <c r="N430" s="5"/>
      <c r="O430" s="34"/>
      <c r="P430" s="2" t="s">
        <v>283</v>
      </c>
      <c r="Q430" s="39" t="s">
        <v>282</v>
      </c>
      <c r="R430" s="2" t="s">
        <v>26</v>
      </c>
      <c r="S430" s="2" t="s">
        <v>281</v>
      </c>
      <c r="T430" s="2"/>
      <c r="U430" s="2" t="s">
        <v>24</v>
      </c>
      <c r="V430" s="47" t="s">
        <v>280</v>
      </c>
      <c r="W430" s="2"/>
    </row>
    <row r="431" spans="1:42" s="2" customFormat="1" ht="14" x14ac:dyDescent="0.3">
      <c r="B431" s="3" t="s">
        <v>81</v>
      </c>
      <c r="C431" s="3" t="s">
        <v>83</v>
      </c>
      <c r="D431" s="3" t="s">
        <v>351</v>
      </c>
      <c r="E431" s="2" t="s">
        <v>350</v>
      </c>
      <c r="F431" s="3" t="s">
        <v>31</v>
      </c>
      <c r="G431" s="3" t="s">
        <v>54</v>
      </c>
      <c r="H431" s="32"/>
      <c r="I431" s="4">
        <v>1.05</v>
      </c>
      <c r="J431" s="4">
        <v>9.8000000000000004E-2</v>
      </c>
      <c r="K431" s="32">
        <v>6</v>
      </c>
      <c r="L431" s="32"/>
      <c r="M431" s="4"/>
      <c r="N431" s="4"/>
      <c r="O431" s="32"/>
      <c r="P431" s="3" t="s">
        <v>347</v>
      </c>
      <c r="Q431" s="26" t="s">
        <v>40</v>
      </c>
      <c r="R431" s="3" t="s">
        <v>4</v>
      </c>
      <c r="S431" s="3" t="s">
        <v>354</v>
      </c>
      <c r="T431" s="3" t="s">
        <v>353</v>
      </c>
      <c r="U431" s="3" t="s">
        <v>1</v>
      </c>
      <c r="V431" s="10" t="s">
        <v>352</v>
      </c>
    </row>
    <row r="432" spans="1:42" s="2" customFormat="1" ht="14" x14ac:dyDescent="0.3">
      <c r="B432" s="3" t="s">
        <v>81</v>
      </c>
      <c r="C432" s="3" t="s">
        <v>83</v>
      </c>
      <c r="D432" s="3" t="s">
        <v>351</v>
      </c>
      <c r="E432" s="2" t="s">
        <v>350</v>
      </c>
      <c r="F432" s="3" t="s">
        <v>349</v>
      </c>
      <c r="G432" s="3"/>
      <c r="H432" s="32" t="s">
        <v>348</v>
      </c>
      <c r="I432" s="4">
        <v>1.21</v>
      </c>
      <c r="J432" s="4">
        <v>0.1</v>
      </c>
      <c r="K432" s="32">
        <v>7</v>
      </c>
      <c r="L432" s="32"/>
      <c r="M432" s="4"/>
      <c r="N432" s="4"/>
      <c r="O432" s="32"/>
      <c r="P432" s="6" t="s">
        <v>347</v>
      </c>
      <c r="Q432" s="26" t="s">
        <v>40</v>
      </c>
      <c r="R432" s="3" t="s">
        <v>4</v>
      </c>
      <c r="S432" s="3" t="s">
        <v>346</v>
      </c>
      <c r="T432" s="3" t="s">
        <v>345</v>
      </c>
      <c r="U432" s="3" t="s">
        <v>1</v>
      </c>
      <c r="V432" s="10" t="s">
        <v>344</v>
      </c>
      <c r="W432" s="3"/>
    </row>
    <row r="433" spans="1:64" s="2" customFormat="1" ht="14" x14ac:dyDescent="0.3">
      <c r="B433" s="3" t="s">
        <v>81</v>
      </c>
      <c r="C433" s="3" t="s">
        <v>83</v>
      </c>
      <c r="D433" s="3" t="s">
        <v>343</v>
      </c>
      <c r="E433" s="3" t="s">
        <v>342</v>
      </c>
      <c r="F433" s="3" t="s">
        <v>116</v>
      </c>
      <c r="H433" s="34" t="s">
        <v>341</v>
      </c>
      <c r="I433" s="5">
        <v>1.1200000000000001</v>
      </c>
      <c r="J433" s="5"/>
      <c r="K433" s="34">
        <v>1</v>
      </c>
      <c r="L433" s="34"/>
      <c r="M433" s="5"/>
      <c r="N433" s="5"/>
      <c r="O433" s="34"/>
      <c r="P433" s="6"/>
      <c r="Q433" s="26" t="s">
        <v>340</v>
      </c>
      <c r="R433" s="3" t="s">
        <v>251</v>
      </c>
      <c r="S433" s="3" t="s">
        <v>339</v>
      </c>
      <c r="T433" s="3"/>
      <c r="U433" s="3" t="s">
        <v>126</v>
      </c>
      <c r="V433" s="10" t="s">
        <v>258</v>
      </c>
    </row>
    <row r="434" spans="1:64" s="12" customFormat="1" x14ac:dyDescent="0.35">
      <c r="A434" s="7" t="s">
        <v>994</v>
      </c>
      <c r="B434" s="7"/>
      <c r="C434" s="7" t="s">
        <v>83</v>
      </c>
      <c r="D434" s="7"/>
      <c r="E434" s="7" t="s">
        <v>338</v>
      </c>
      <c r="F434" s="7"/>
      <c r="G434" s="7"/>
      <c r="H434" s="33"/>
      <c r="I434" s="8">
        <f>AVERAGE(I429:I433)</f>
        <v>1.1156000000000001</v>
      </c>
      <c r="J434" s="8">
        <f>STDEV(I429:I433)/SQRT(COUNT(I429:I433))</f>
        <v>0.16995693572196455</v>
      </c>
      <c r="K434" s="33"/>
      <c r="L434" s="33"/>
      <c r="M434" s="8"/>
      <c r="N434" s="8"/>
      <c r="O434" s="33"/>
      <c r="P434" s="7"/>
      <c r="Q434" s="38"/>
      <c r="R434" s="7"/>
      <c r="S434" s="7"/>
      <c r="T434" s="7"/>
      <c r="U434" s="7"/>
      <c r="V434" s="43"/>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row>
    <row r="435" spans="1:64" x14ac:dyDescent="0.35">
      <c r="A435" s="2"/>
      <c r="B435" s="2" t="s">
        <v>81</v>
      </c>
      <c r="C435" s="2" t="s">
        <v>83</v>
      </c>
      <c r="D435" s="2" t="s">
        <v>337</v>
      </c>
      <c r="E435" s="2" t="s">
        <v>82</v>
      </c>
      <c r="F435" s="2" t="s">
        <v>59</v>
      </c>
      <c r="G435" s="2" t="s">
        <v>1163</v>
      </c>
      <c r="H435" s="34" t="s">
        <v>1164</v>
      </c>
      <c r="I435" s="5">
        <f>AVERAGE(0.7,1.2)</f>
        <v>0.95</v>
      </c>
      <c r="J435" s="5">
        <f>STDEV(0.7,1.2)/SQRT(2)</f>
        <v>0.25</v>
      </c>
      <c r="K435" s="34">
        <v>1</v>
      </c>
      <c r="L435" s="34" t="s">
        <v>1165</v>
      </c>
      <c r="M435" s="5">
        <f>AVERAGE(1.1,1.2,1.5,1.6)</f>
        <v>1.35</v>
      </c>
      <c r="N435" s="5">
        <f>STDEV(1.1,1.2,1.5,1.6)</f>
        <v>0.23804761428476162</v>
      </c>
      <c r="O435" s="34"/>
      <c r="P435" s="2"/>
      <c r="Q435" s="39" t="s">
        <v>336</v>
      </c>
      <c r="R435" s="2" t="s">
        <v>198</v>
      </c>
      <c r="S435" s="2" t="s">
        <v>335</v>
      </c>
      <c r="T435" s="2" t="s">
        <v>2</v>
      </c>
      <c r="U435" s="2" t="s">
        <v>13</v>
      </c>
      <c r="V435" s="44" t="s">
        <v>334</v>
      </c>
      <c r="W435" s="2"/>
    </row>
    <row r="436" spans="1:64" x14ac:dyDescent="0.35">
      <c r="A436" s="2"/>
      <c r="B436" s="2" t="s">
        <v>81</v>
      </c>
      <c r="C436" s="2" t="s">
        <v>83</v>
      </c>
      <c r="D436" s="2" t="s">
        <v>331</v>
      </c>
      <c r="E436" s="2" t="s">
        <v>82</v>
      </c>
      <c r="F436" s="2" t="s">
        <v>42</v>
      </c>
      <c r="G436" s="2"/>
      <c r="H436" s="34" t="s">
        <v>330</v>
      </c>
      <c r="I436" s="5">
        <v>1.1600000000000001</v>
      </c>
      <c r="J436" s="5">
        <v>0.26450762883948292</v>
      </c>
      <c r="K436" s="34">
        <v>9</v>
      </c>
      <c r="L436" s="34"/>
      <c r="M436" s="5"/>
      <c r="N436" s="5"/>
      <c r="O436" s="34"/>
      <c r="P436" s="2" t="s">
        <v>41</v>
      </c>
      <c r="Q436" s="39" t="s">
        <v>40</v>
      </c>
      <c r="R436" s="2" t="s">
        <v>39</v>
      </c>
      <c r="S436" s="2" t="s">
        <v>38</v>
      </c>
      <c r="T436" s="2"/>
      <c r="U436" s="2" t="s">
        <v>37</v>
      </c>
      <c r="V436" s="44" t="s">
        <v>36</v>
      </c>
      <c r="W436" s="2"/>
    </row>
    <row r="437" spans="1:64" x14ac:dyDescent="0.35">
      <c r="A437" s="2"/>
      <c r="B437" s="2" t="s">
        <v>81</v>
      </c>
      <c r="C437" s="2" t="s">
        <v>83</v>
      </c>
      <c r="D437" s="2" t="s">
        <v>288</v>
      </c>
      <c r="E437" s="2" t="s">
        <v>82</v>
      </c>
      <c r="F437" s="2" t="s">
        <v>329</v>
      </c>
      <c r="G437" s="2"/>
      <c r="H437" s="34" t="s">
        <v>328</v>
      </c>
      <c r="I437" s="5">
        <v>1.48</v>
      </c>
      <c r="J437" s="5">
        <v>0.27</v>
      </c>
      <c r="K437" s="34">
        <v>2</v>
      </c>
      <c r="L437" s="34" t="s">
        <v>327</v>
      </c>
      <c r="M437" s="5">
        <v>1.31</v>
      </c>
      <c r="N437" s="5">
        <v>0.08</v>
      </c>
      <c r="O437" s="34"/>
      <c r="P437" s="2" t="s">
        <v>28</v>
      </c>
      <c r="Q437" s="39" t="s">
        <v>194</v>
      </c>
      <c r="R437" s="2" t="s">
        <v>26</v>
      </c>
      <c r="S437" s="2" t="s">
        <v>25</v>
      </c>
      <c r="T437" s="2"/>
      <c r="U437" s="2" t="s">
        <v>24</v>
      </c>
      <c r="V437" s="44" t="s">
        <v>23</v>
      </c>
      <c r="W437" s="2"/>
    </row>
    <row r="438" spans="1:64" x14ac:dyDescent="0.35">
      <c r="A438" s="2"/>
      <c r="B438" s="2" t="s">
        <v>81</v>
      </c>
      <c r="C438" s="2" t="s">
        <v>83</v>
      </c>
      <c r="D438" s="2" t="s">
        <v>288</v>
      </c>
      <c r="E438" s="2" t="s">
        <v>82</v>
      </c>
      <c r="F438" s="2" t="s">
        <v>19</v>
      </c>
      <c r="G438" s="2" t="s">
        <v>285</v>
      </c>
      <c r="H438" s="34" t="s">
        <v>326</v>
      </c>
      <c r="I438" s="5">
        <v>1.21</v>
      </c>
      <c r="J438" s="5">
        <v>9.0999999999999998E-2</v>
      </c>
      <c r="K438" s="34">
        <v>55</v>
      </c>
      <c r="L438" s="34"/>
      <c r="M438" s="5"/>
      <c r="N438" s="5"/>
      <c r="O438" s="34"/>
      <c r="P438" s="2" t="s">
        <v>283</v>
      </c>
      <c r="Q438" s="39" t="s">
        <v>282</v>
      </c>
      <c r="R438" s="2" t="s">
        <v>26</v>
      </c>
      <c r="S438" s="2" t="s">
        <v>281</v>
      </c>
      <c r="T438" s="2"/>
      <c r="U438" s="2" t="s">
        <v>24</v>
      </c>
      <c r="V438" s="47" t="s">
        <v>280</v>
      </c>
      <c r="W438" s="2"/>
    </row>
    <row r="439" spans="1:64" x14ac:dyDescent="0.35">
      <c r="A439" s="2"/>
      <c r="B439" s="2" t="s">
        <v>81</v>
      </c>
      <c r="C439" s="2" t="s">
        <v>83</v>
      </c>
      <c r="D439" s="2" t="s">
        <v>288</v>
      </c>
      <c r="E439" s="2" t="s">
        <v>82</v>
      </c>
      <c r="F439" s="2" t="s">
        <v>59</v>
      </c>
      <c r="G439" s="2" t="s">
        <v>306</v>
      </c>
      <c r="H439" s="34" t="s">
        <v>325</v>
      </c>
      <c r="I439" s="5">
        <v>0.71</v>
      </c>
      <c r="J439" s="5">
        <v>0.2</v>
      </c>
      <c r="K439" s="34">
        <v>78</v>
      </c>
      <c r="L439" s="34"/>
      <c r="M439" s="5"/>
      <c r="N439" s="5"/>
      <c r="O439" s="34"/>
      <c r="P439" s="2" t="s">
        <v>88</v>
      </c>
      <c r="Q439" s="39" t="s">
        <v>40</v>
      </c>
      <c r="R439" s="2" t="s">
        <v>39</v>
      </c>
      <c r="S439" s="2" t="s">
        <v>273</v>
      </c>
      <c r="T439" s="2"/>
      <c r="U439" s="2" t="s">
        <v>37</v>
      </c>
      <c r="V439" s="44" t="s">
        <v>272</v>
      </c>
      <c r="W439" s="2"/>
    </row>
    <row r="440" spans="1:64" x14ac:dyDescent="0.35">
      <c r="A440" s="2"/>
      <c r="B440" s="2" t="s">
        <v>81</v>
      </c>
      <c r="C440" s="2" t="s">
        <v>83</v>
      </c>
      <c r="D440" s="2" t="s">
        <v>288</v>
      </c>
      <c r="E440" s="2" t="s">
        <v>82</v>
      </c>
      <c r="F440" s="2" t="s">
        <v>1062</v>
      </c>
      <c r="G440" s="2" t="s">
        <v>1063</v>
      </c>
      <c r="H440" s="34" t="s">
        <v>1064</v>
      </c>
      <c r="I440" s="5">
        <f>AVERAGE(0.31,1.31,0.76)</f>
        <v>0.79333333333333333</v>
      </c>
      <c r="J440" s="5">
        <f>STDEV(0.31,1.31,0.76)/SQRT(3)</f>
        <v>0.28915585954829126</v>
      </c>
      <c r="K440" s="34">
        <v>33</v>
      </c>
      <c r="L440" s="34"/>
      <c r="M440" s="5"/>
      <c r="N440" s="5"/>
      <c r="O440" s="34"/>
      <c r="P440" s="3" t="s">
        <v>88</v>
      </c>
      <c r="Q440" s="26" t="s">
        <v>40</v>
      </c>
      <c r="R440" s="3" t="s">
        <v>39</v>
      </c>
      <c r="S440" s="3" t="s">
        <v>399</v>
      </c>
      <c r="U440" s="3" t="s">
        <v>37</v>
      </c>
      <c r="V440" s="44" t="s">
        <v>688</v>
      </c>
      <c r="W440" s="2"/>
    </row>
    <row r="441" spans="1:64" x14ac:dyDescent="0.35">
      <c r="A441" s="2"/>
      <c r="B441" s="3" t="s">
        <v>81</v>
      </c>
      <c r="C441" s="3" t="s">
        <v>83</v>
      </c>
      <c r="D441" s="3" t="s">
        <v>288</v>
      </c>
      <c r="E441" s="3" t="s">
        <v>82</v>
      </c>
      <c r="F441" s="3" t="s">
        <v>31</v>
      </c>
      <c r="G441" s="3" t="s">
        <v>1076</v>
      </c>
      <c r="I441" s="4">
        <v>0.82462962962962949</v>
      </c>
      <c r="J441" s="4">
        <v>7.7248677248677261E-2</v>
      </c>
      <c r="K441" s="32">
        <v>14</v>
      </c>
      <c r="Q441" s="26" t="s">
        <v>1075</v>
      </c>
      <c r="R441" s="3" t="s">
        <v>39</v>
      </c>
      <c r="S441" s="3" t="s">
        <v>1077</v>
      </c>
      <c r="U441" s="3" t="s">
        <v>37</v>
      </c>
      <c r="V441" s="44" t="s">
        <v>664</v>
      </c>
    </row>
    <row r="442" spans="1:64" x14ac:dyDescent="0.35">
      <c r="A442" s="2"/>
      <c r="B442" s="3" t="s">
        <v>81</v>
      </c>
      <c r="C442" s="3" t="s">
        <v>83</v>
      </c>
      <c r="D442" s="3" t="s">
        <v>288</v>
      </c>
      <c r="E442" s="2" t="s">
        <v>82</v>
      </c>
      <c r="F442" s="3" t="s">
        <v>70</v>
      </c>
      <c r="I442" s="4">
        <v>0.87</v>
      </c>
      <c r="J442" s="4">
        <v>0.13100000000000001</v>
      </c>
      <c r="K442" s="32">
        <v>4</v>
      </c>
      <c r="P442" s="6" t="s">
        <v>74</v>
      </c>
      <c r="Q442" s="26" t="s">
        <v>1138</v>
      </c>
      <c r="R442" s="3" t="s">
        <v>66</v>
      </c>
      <c r="S442" s="3" t="s">
        <v>65</v>
      </c>
      <c r="U442" s="3" t="s">
        <v>37</v>
      </c>
      <c r="V442" s="44" t="s">
        <v>72</v>
      </c>
      <c r="W442" s="2"/>
    </row>
    <row r="443" spans="1:64" x14ac:dyDescent="0.35">
      <c r="A443" s="2"/>
      <c r="B443" s="3" t="s">
        <v>81</v>
      </c>
      <c r="C443" s="3" t="s">
        <v>83</v>
      </c>
      <c r="D443" s="3" t="s">
        <v>288</v>
      </c>
      <c r="E443" s="3" t="s">
        <v>82</v>
      </c>
      <c r="F443" s="3" t="s">
        <v>59</v>
      </c>
      <c r="I443" s="4">
        <v>0.76600000000000001</v>
      </c>
      <c r="K443" s="32">
        <v>10</v>
      </c>
      <c r="Q443" s="37" t="s">
        <v>67</v>
      </c>
      <c r="R443" s="3" t="s">
        <v>39</v>
      </c>
      <c r="S443" s="3" t="s">
        <v>323</v>
      </c>
      <c r="U443" s="3" t="s">
        <v>37</v>
      </c>
      <c r="V443" s="10" t="s">
        <v>319</v>
      </c>
    </row>
    <row r="444" spans="1:64" x14ac:dyDescent="0.35">
      <c r="A444" s="2"/>
      <c r="B444" s="3" t="s">
        <v>81</v>
      </c>
      <c r="C444" s="3" t="s">
        <v>83</v>
      </c>
      <c r="D444" s="3" t="s">
        <v>288</v>
      </c>
      <c r="E444" s="3" t="s">
        <v>82</v>
      </c>
      <c r="F444" s="3" t="s">
        <v>59</v>
      </c>
      <c r="I444" s="4">
        <v>0.81299999999999994</v>
      </c>
      <c r="K444" s="32">
        <v>10</v>
      </c>
      <c r="Q444" s="37" t="s">
        <v>318</v>
      </c>
      <c r="R444" s="3" t="s">
        <v>39</v>
      </c>
      <c r="S444" s="3" t="s">
        <v>322</v>
      </c>
      <c r="U444" s="3" t="s">
        <v>37</v>
      </c>
      <c r="V444" s="10" t="s">
        <v>319</v>
      </c>
    </row>
    <row r="445" spans="1:64" x14ac:dyDescent="0.35">
      <c r="A445" s="2"/>
      <c r="B445" s="3" t="s">
        <v>81</v>
      </c>
      <c r="C445" s="3" t="s">
        <v>83</v>
      </c>
      <c r="D445" s="3" t="s">
        <v>288</v>
      </c>
      <c r="E445" s="3" t="s">
        <v>82</v>
      </c>
      <c r="F445" s="3" t="s">
        <v>59</v>
      </c>
      <c r="I445" s="4">
        <v>1.01</v>
      </c>
      <c r="K445" s="32">
        <v>10</v>
      </c>
      <c r="Q445" s="37" t="s">
        <v>318</v>
      </c>
      <c r="R445" s="3" t="s">
        <v>39</v>
      </c>
      <c r="S445" s="3" t="s">
        <v>321</v>
      </c>
      <c r="U445" s="3" t="s">
        <v>37</v>
      </c>
      <c r="V445" s="10" t="s">
        <v>319</v>
      </c>
    </row>
    <row r="446" spans="1:64" x14ac:dyDescent="0.35">
      <c r="A446" s="2"/>
      <c r="B446" s="3" t="s">
        <v>81</v>
      </c>
      <c r="C446" s="3" t="s">
        <v>83</v>
      </c>
      <c r="D446" s="3" t="s">
        <v>288</v>
      </c>
      <c r="E446" s="3" t="s">
        <v>82</v>
      </c>
      <c r="F446" s="3" t="s">
        <v>59</v>
      </c>
      <c r="I446" s="4">
        <v>0.80800000000000005</v>
      </c>
      <c r="K446" s="32">
        <v>10</v>
      </c>
      <c r="Q446" s="37" t="s">
        <v>318</v>
      </c>
      <c r="R446" s="3" t="s">
        <v>39</v>
      </c>
      <c r="S446" s="3" t="s">
        <v>320</v>
      </c>
      <c r="U446" s="3" t="s">
        <v>37</v>
      </c>
      <c r="V446" s="10" t="s">
        <v>319</v>
      </c>
    </row>
    <row r="447" spans="1:64" x14ac:dyDescent="0.35">
      <c r="A447" s="2"/>
      <c r="B447" s="3" t="s">
        <v>81</v>
      </c>
      <c r="C447" s="3" t="s">
        <v>83</v>
      </c>
      <c r="D447" s="3" t="s">
        <v>288</v>
      </c>
      <c r="E447" s="3" t="s">
        <v>82</v>
      </c>
      <c r="F447" s="3" t="s">
        <v>59</v>
      </c>
      <c r="G447" s="3" t="s">
        <v>1166</v>
      </c>
      <c r="I447" s="4">
        <f>AVERAGE(1.16,1.349,1.157,1.081)</f>
        <v>1.18675</v>
      </c>
      <c r="J447" s="4">
        <f>STDEV(1.16,1.349,1.157,1.081)</f>
        <v>0.11417639861197235</v>
      </c>
      <c r="K447" s="32">
        <v>21</v>
      </c>
      <c r="Q447" s="42" t="s">
        <v>1167</v>
      </c>
      <c r="R447" s="3" t="s">
        <v>39</v>
      </c>
      <c r="S447" s="3" t="s">
        <v>317</v>
      </c>
      <c r="U447" s="3" t="s">
        <v>37</v>
      </c>
      <c r="V447" s="10" t="s">
        <v>316</v>
      </c>
    </row>
    <row r="448" spans="1:64" x14ac:dyDescent="0.35">
      <c r="A448" s="2"/>
      <c r="B448" s="3" t="s">
        <v>81</v>
      </c>
      <c r="C448" s="3" t="s">
        <v>83</v>
      </c>
      <c r="D448" s="3" t="s">
        <v>288</v>
      </c>
      <c r="E448" s="3" t="s">
        <v>82</v>
      </c>
      <c r="F448" s="3" t="s">
        <v>59</v>
      </c>
      <c r="G448" s="3" t="s">
        <v>315</v>
      </c>
      <c r="I448" s="4">
        <v>1.3</v>
      </c>
      <c r="K448" s="32">
        <v>10</v>
      </c>
      <c r="L448" s="32" t="s">
        <v>314</v>
      </c>
      <c r="M448" s="4">
        <v>1.38</v>
      </c>
      <c r="Q448" s="37" t="s">
        <v>233</v>
      </c>
      <c r="R448" s="3" t="s">
        <v>39</v>
      </c>
      <c r="S448" s="3" t="s">
        <v>313</v>
      </c>
      <c r="U448" s="3" t="s">
        <v>37</v>
      </c>
      <c r="V448" s="10" t="s">
        <v>312</v>
      </c>
    </row>
    <row r="449" spans="1:64" x14ac:dyDescent="0.35">
      <c r="A449" s="2"/>
      <c r="B449" s="3" t="s">
        <v>81</v>
      </c>
      <c r="C449" s="3" t="s">
        <v>83</v>
      </c>
      <c r="D449" s="3" t="s">
        <v>288</v>
      </c>
      <c r="E449" s="3" t="s">
        <v>82</v>
      </c>
      <c r="F449" s="3" t="s">
        <v>31</v>
      </c>
      <c r="G449" s="3" t="s">
        <v>1106</v>
      </c>
      <c r="H449" s="32" t="s">
        <v>311</v>
      </c>
      <c r="I449" s="4">
        <f>AVERAGE(1.17,1.05)</f>
        <v>1.1099999999999999</v>
      </c>
      <c r="J449" s="4">
        <f>AVERAGE(0.102,0.19)</f>
        <v>0.14599999999999999</v>
      </c>
      <c r="K449" s="32">
        <v>28</v>
      </c>
      <c r="P449" s="6" t="s">
        <v>74</v>
      </c>
      <c r="Q449" s="39" t="s">
        <v>1108</v>
      </c>
      <c r="R449" s="3" t="s">
        <v>51</v>
      </c>
      <c r="S449" s="3" t="s">
        <v>76</v>
      </c>
      <c r="U449" s="3" t="s">
        <v>48</v>
      </c>
      <c r="V449" s="44" t="s">
        <v>75</v>
      </c>
    </row>
    <row r="450" spans="1:64" x14ac:dyDescent="0.35">
      <c r="A450" s="2"/>
      <c r="B450" s="3" t="s">
        <v>81</v>
      </c>
      <c r="C450" s="3" t="s">
        <v>83</v>
      </c>
      <c r="D450" s="3" t="s">
        <v>288</v>
      </c>
      <c r="E450" s="3" t="s">
        <v>82</v>
      </c>
      <c r="F450" s="3" t="s">
        <v>59</v>
      </c>
      <c r="G450" s="2"/>
      <c r="H450" s="34" t="s">
        <v>310</v>
      </c>
      <c r="I450" s="5">
        <v>1.1783333333333335</v>
      </c>
      <c r="J450" s="5">
        <v>0.38902013658249956</v>
      </c>
      <c r="K450" s="34">
        <v>6</v>
      </c>
      <c r="L450" s="34"/>
      <c r="M450" s="5"/>
      <c r="N450" s="5"/>
      <c r="O450" s="34"/>
      <c r="P450" s="2" t="s">
        <v>28</v>
      </c>
      <c r="Q450" s="39" t="s">
        <v>87</v>
      </c>
      <c r="R450" s="2" t="s">
        <v>4</v>
      </c>
      <c r="S450" s="2" t="s">
        <v>155</v>
      </c>
      <c r="T450" s="2"/>
      <c r="U450" s="2" t="s">
        <v>1215</v>
      </c>
      <c r="V450" s="44" t="s">
        <v>309</v>
      </c>
      <c r="W450" s="1"/>
    </row>
    <row r="451" spans="1:64" x14ac:dyDescent="0.35">
      <c r="A451" s="2"/>
      <c r="B451" s="3" t="s">
        <v>81</v>
      </c>
      <c r="C451" s="3" t="s">
        <v>83</v>
      </c>
      <c r="D451" s="3" t="s">
        <v>288</v>
      </c>
      <c r="E451" s="3" t="s">
        <v>82</v>
      </c>
      <c r="F451" s="3" t="s">
        <v>59</v>
      </c>
      <c r="H451" s="32" t="s">
        <v>308</v>
      </c>
      <c r="I451" s="4">
        <v>0.85</v>
      </c>
      <c r="J451" s="4">
        <v>0.05</v>
      </c>
      <c r="K451" s="32">
        <v>2</v>
      </c>
      <c r="Q451" s="37" t="s">
        <v>175</v>
      </c>
      <c r="R451" s="3" t="s">
        <v>4</v>
      </c>
      <c r="S451" s="3" t="s">
        <v>180</v>
      </c>
      <c r="U451" s="3" t="s">
        <v>1215</v>
      </c>
      <c r="V451" s="10" t="s">
        <v>179</v>
      </c>
    </row>
    <row r="452" spans="1:64" x14ac:dyDescent="0.35">
      <c r="A452" s="2"/>
      <c r="B452" s="3" t="s">
        <v>81</v>
      </c>
      <c r="C452" s="3" t="s">
        <v>83</v>
      </c>
      <c r="D452" s="3" t="s">
        <v>288</v>
      </c>
      <c r="E452" s="3" t="s">
        <v>82</v>
      </c>
      <c r="F452" s="3" t="s">
        <v>59</v>
      </c>
      <c r="I452" s="4">
        <v>0.748</v>
      </c>
      <c r="J452" s="4">
        <v>0.17499999999999999</v>
      </c>
      <c r="K452" s="32">
        <v>11</v>
      </c>
      <c r="Q452" s="26" t="s">
        <v>40</v>
      </c>
      <c r="R452" s="3" t="s">
        <v>126</v>
      </c>
      <c r="S452" s="3" t="s">
        <v>126</v>
      </c>
      <c r="U452" s="3" t="s">
        <v>126</v>
      </c>
      <c r="V452" s="44" t="s">
        <v>307</v>
      </c>
    </row>
    <row r="453" spans="1:64" x14ac:dyDescent="0.35">
      <c r="A453" s="2"/>
      <c r="B453" s="3" t="s">
        <v>81</v>
      </c>
      <c r="C453" s="3" t="s">
        <v>83</v>
      </c>
      <c r="D453" s="3" t="s">
        <v>288</v>
      </c>
      <c r="E453" s="3" t="s">
        <v>82</v>
      </c>
      <c r="F453" s="3" t="s">
        <v>1170</v>
      </c>
      <c r="G453" s="3" t="s">
        <v>1169</v>
      </c>
      <c r="I453" s="4">
        <f>AVERAGE(0.12,0.2)</f>
        <v>0.16</v>
      </c>
      <c r="M453" s="4">
        <v>1.5269999999999999</v>
      </c>
      <c r="N453" s="4">
        <v>3.2000000000000001E-2</v>
      </c>
      <c r="P453" s="3" t="s">
        <v>302</v>
      </c>
      <c r="Q453" s="26" t="s">
        <v>103</v>
      </c>
      <c r="R453" s="3" t="s">
        <v>301</v>
      </c>
      <c r="S453" s="3" t="s">
        <v>300</v>
      </c>
      <c r="U453" s="3" t="s">
        <v>242</v>
      </c>
      <c r="V453" s="44" t="s">
        <v>299</v>
      </c>
    </row>
    <row r="454" spans="1:64" x14ac:dyDescent="0.35">
      <c r="A454" s="2"/>
      <c r="B454" s="3" t="s">
        <v>81</v>
      </c>
      <c r="C454" s="3" t="s">
        <v>83</v>
      </c>
      <c r="D454" s="3" t="s">
        <v>288</v>
      </c>
      <c r="E454" s="3" t="s">
        <v>82</v>
      </c>
      <c r="F454" s="3" t="s">
        <v>1170</v>
      </c>
      <c r="G454" s="3" t="s">
        <v>1169</v>
      </c>
      <c r="I454" s="4">
        <f>AVERAGE(0.98,0.68)</f>
        <v>0.83000000000000007</v>
      </c>
      <c r="M454" s="4">
        <v>1.405</v>
      </c>
      <c r="N454" s="4">
        <v>1.7999999999999999E-2</v>
      </c>
      <c r="P454" s="3" t="s">
        <v>28</v>
      </c>
      <c r="Q454" s="26" t="s">
        <v>103</v>
      </c>
      <c r="R454" s="3" t="s">
        <v>301</v>
      </c>
      <c r="S454" s="3" t="s">
        <v>300</v>
      </c>
      <c r="U454" s="3" t="s">
        <v>242</v>
      </c>
      <c r="V454" s="44" t="s">
        <v>299</v>
      </c>
    </row>
    <row r="455" spans="1:64" x14ac:dyDescent="0.35">
      <c r="A455" s="2"/>
      <c r="B455" s="3" t="s">
        <v>81</v>
      </c>
      <c r="C455" s="3" t="s">
        <v>83</v>
      </c>
      <c r="D455" s="3" t="s">
        <v>288</v>
      </c>
      <c r="E455" s="3" t="s">
        <v>82</v>
      </c>
      <c r="F455" s="3" t="s">
        <v>59</v>
      </c>
      <c r="G455" s="3" t="s">
        <v>1171</v>
      </c>
      <c r="I455" s="4">
        <v>0.53</v>
      </c>
      <c r="J455" s="4">
        <v>0.12</v>
      </c>
      <c r="K455" s="32">
        <v>1</v>
      </c>
      <c r="P455" s="3" t="s">
        <v>298</v>
      </c>
      <c r="Q455" s="37" t="s">
        <v>27</v>
      </c>
      <c r="R455" s="3" t="s">
        <v>198</v>
      </c>
      <c r="S455" s="3" t="s">
        <v>297</v>
      </c>
      <c r="T455" s="3" t="s">
        <v>296</v>
      </c>
      <c r="U455" s="3" t="s">
        <v>13</v>
      </c>
      <c r="V455" s="10" t="s">
        <v>295</v>
      </c>
    </row>
    <row r="456" spans="1:64" x14ac:dyDescent="0.35">
      <c r="A456" s="2"/>
      <c r="B456" s="3" t="s">
        <v>81</v>
      </c>
      <c r="C456" s="3" t="s">
        <v>83</v>
      </c>
      <c r="D456" s="3" t="s">
        <v>288</v>
      </c>
      <c r="E456" s="3" t="s">
        <v>82</v>
      </c>
      <c r="F456" s="3" t="s">
        <v>59</v>
      </c>
      <c r="G456" s="3" t="s">
        <v>294</v>
      </c>
      <c r="I456" s="4">
        <v>1.3</v>
      </c>
      <c r="J456" s="4">
        <v>0.3</v>
      </c>
      <c r="K456" s="32">
        <v>1</v>
      </c>
      <c r="Q456" s="37" t="s">
        <v>27</v>
      </c>
      <c r="R456" s="3" t="s">
        <v>293</v>
      </c>
      <c r="S456" s="3" t="s">
        <v>292</v>
      </c>
      <c r="U456" s="3" t="s">
        <v>13</v>
      </c>
      <c r="V456" s="10" t="s">
        <v>291</v>
      </c>
    </row>
    <row r="457" spans="1:64" x14ac:dyDescent="0.35">
      <c r="A457" s="2"/>
      <c r="B457" s="2" t="s">
        <v>81</v>
      </c>
      <c r="C457" s="2" t="s">
        <v>83</v>
      </c>
      <c r="D457" s="2" t="s">
        <v>290</v>
      </c>
      <c r="E457" s="2" t="s">
        <v>82</v>
      </c>
      <c r="F457" s="2" t="s">
        <v>42</v>
      </c>
      <c r="G457" s="2"/>
      <c r="H457" s="34" t="s">
        <v>289</v>
      </c>
      <c r="I457" s="5">
        <v>0.72799999999999998</v>
      </c>
      <c r="J457" s="5">
        <v>8.1816868676330895E-2</v>
      </c>
      <c r="K457" s="34">
        <v>12</v>
      </c>
      <c r="L457" s="34"/>
      <c r="M457" s="5"/>
      <c r="N457" s="5"/>
      <c r="O457" s="34"/>
      <c r="P457" s="2" t="s">
        <v>41</v>
      </c>
      <c r="Q457" s="39" t="s">
        <v>40</v>
      </c>
      <c r="R457" s="2" t="s">
        <v>39</v>
      </c>
      <c r="S457" s="2" t="s">
        <v>38</v>
      </c>
      <c r="T457" s="2"/>
      <c r="U457" s="2" t="s">
        <v>37</v>
      </c>
      <c r="V457" s="44" t="s">
        <v>36</v>
      </c>
      <c r="W457" s="2"/>
    </row>
    <row r="458" spans="1:64" customFormat="1" x14ac:dyDescent="0.35">
      <c r="A458" s="2"/>
      <c r="B458" s="3" t="s">
        <v>81</v>
      </c>
      <c r="C458" s="3" t="s">
        <v>83</v>
      </c>
      <c r="D458" s="3" t="s">
        <v>288</v>
      </c>
      <c r="E458" s="3" t="s">
        <v>82</v>
      </c>
      <c r="F458" s="3" t="s">
        <v>59</v>
      </c>
      <c r="G458" s="3" t="s">
        <v>1172</v>
      </c>
      <c r="H458" s="32"/>
      <c r="I458" s="4">
        <v>1.4630769230769229</v>
      </c>
      <c r="J458" s="4">
        <v>4.0229862224418086E-2</v>
      </c>
      <c r="K458" s="32">
        <v>73</v>
      </c>
      <c r="L458" s="32"/>
      <c r="M458" s="3"/>
      <c r="N458" s="3"/>
      <c r="O458" s="32"/>
      <c r="P458" s="3" t="s">
        <v>74</v>
      </c>
      <c r="Q458" s="37" t="s">
        <v>225</v>
      </c>
      <c r="R458" s="3" t="s">
        <v>112</v>
      </c>
      <c r="S458" s="3" t="s">
        <v>287</v>
      </c>
      <c r="T458" s="3"/>
      <c r="U458" s="3" t="s">
        <v>13</v>
      </c>
      <c r="V458" s="10" t="s">
        <v>286</v>
      </c>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35">
      <c r="A459" s="2"/>
      <c r="B459" s="2" t="s">
        <v>81</v>
      </c>
      <c r="C459" s="2" t="s">
        <v>83</v>
      </c>
      <c r="D459" s="2" t="s">
        <v>288</v>
      </c>
      <c r="E459" s="2" t="s">
        <v>82</v>
      </c>
      <c r="F459" s="2" t="s">
        <v>1763</v>
      </c>
      <c r="G459" s="2"/>
      <c r="H459" s="34" t="s">
        <v>1771</v>
      </c>
      <c r="I459" s="5">
        <v>0.52567275747508302</v>
      </c>
      <c r="J459" s="5">
        <v>0.24310047319573519</v>
      </c>
      <c r="K459" s="34">
        <v>3</v>
      </c>
      <c r="L459" s="34"/>
      <c r="M459" s="5"/>
      <c r="N459" s="5"/>
      <c r="O459" s="34"/>
      <c r="P459" s="2" t="s">
        <v>798</v>
      </c>
      <c r="Q459" s="42" t="s">
        <v>1139</v>
      </c>
      <c r="R459" s="2" t="s">
        <v>1765</v>
      </c>
      <c r="S459" s="2" t="s">
        <v>1766</v>
      </c>
      <c r="T459" s="2"/>
      <c r="U459" s="2" t="s">
        <v>24</v>
      </c>
      <c r="V459" s="44" t="s">
        <v>1767</v>
      </c>
      <c r="W459" s="2"/>
    </row>
    <row r="460" spans="1:64" x14ac:dyDescent="0.35">
      <c r="A460" s="2"/>
      <c r="B460" s="2" t="s">
        <v>81</v>
      </c>
      <c r="C460" s="2" t="s">
        <v>83</v>
      </c>
      <c r="D460" s="2" t="s">
        <v>188</v>
      </c>
      <c r="E460" s="2" t="s">
        <v>82</v>
      </c>
      <c r="F460" s="2" t="s">
        <v>19</v>
      </c>
      <c r="G460" s="2" t="s">
        <v>285</v>
      </c>
      <c r="H460" s="34" t="s">
        <v>284</v>
      </c>
      <c r="I460" s="5">
        <v>1.1200000000000001</v>
      </c>
      <c r="J460" s="5">
        <v>5.8999999999999997E-2</v>
      </c>
      <c r="K460" s="34">
        <v>115</v>
      </c>
      <c r="L460" s="34"/>
      <c r="M460" s="5"/>
      <c r="N460" s="5"/>
      <c r="O460" s="34"/>
      <c r="P460" s="2" t="s">
        <v>283</v>
      </c>
      <c r="Q460" s="39" t="s">
        <v>282</v>
      </c>
      <c r="R460" s="2" t="s">
        <v>26</v>
      </c>
      <c r="S460" s="2" t="s">
        <v>281</v>
      </c>
      <c r="T460" s="2"/>
      <c r="U460" s="2" t="s">
        <v>24</v>
      </c>
      <c r="V460" s="47" t="s">
        <v>280</v>
      </c>
      <c r="W460" s="2"/>
    </row>
    <row r="461" spans="1:64" x14ac:dyDescent="0.35">
      <c r="A461" s="2"/>
      <c r="B461" s="2" t="s">
        <v>81</v>
      </c>
      <c r="C461" s="2" t="s">
        <v>83</v>
      </c>
      <c r="D461" s="2" t="s">
        <v>188</v>
      </c>
      <c r="E461" s="2" t="s">
        <v>82</v>
      </c>
      <c r="F461" s="2" t="s">
        <v>59</v>
      </c>
      <c r="G461" s="2"/>
      <c r="H461" s="34" t="s">
        <v>279</v>
      </c>
      <c r="I461" s="5">
        <v>0.76</v>
      </c>
      <c r="J461" s="5"/>
      <c r="K461" s="34">
        <v>30</v>
      </c>
      <c r="L461" s="34" t="s">
        <v>278</v>
      </c>
      <c r="M461" s="5">
        <v>1.41</v>
      </c>
      <c r="N461" s="5"/>
      <c r="O461" s="34">
        <v>30</v>
      </c>
      <c r="P461" s="2"/>
      <c r="Q461" s="39" t="s">
        <v>277</v>
      </c>
      <c r="R461" s="2" t="s">
        <v>39</v>
      </c>
      <c r="S461" s="2" t="s">
        <v>276</v>
      </c>
      <c r="T461" s="2"/>
      <c r="U461" s="2" t="s">
        <v>37</v>
      </c>
      <c r="V461" s="44" t="s">
        <v>275</v>
      </c>
      <c r="W461" s="2"/>
    </row>
    <row r="462" spans="1:64" x14ac:dyDescent="0.35">
      <c r="A462" s="2"/>
      <c r="B462" s="2" t="s">
        <v>81</v>
      </c>
      <c r="C462" s="2" t="s">
        <v>83</v>
      </c>
      <c r="D462" s="2" t="s">
        <v>188</v>
      </c>
      <c r="E462" s="2" t="s">
        <v>82</v>
      </c>
      <c r="F462" s="2" t="s">
        <v>59</v>
      </c>
      <c r="G462" s="2"/>
      <c r="H462" s="34" t="s">
        <v>274</v>
      </c>
      <c r="I462" s="5">
        <v>0.78</v>
      </c>
      <c r="J462" s="5">
        <v>0.13</v>
      </c>
      <c r="K462" s="34">
        <v>31</v>
      </c>
      <c r="L462" s="34"/>
      <c r="M462" s="5"/>
      <c r="N462" s="5"/>
      <c r="O462" s="34"/>
      <c r="P462" s="2" t="s">
        <v>88</v>
      </c>
      <c r="Q462" s="39" t="s">
        <v>40</v>
      </c>
      <c r="R462" s="2" t="s">
        <v>39</v>
      </c>
      <c r="S462" s="2" t="s">
        <v>273</v>
      </c>
      <c r="T462" s="2"/>
      <c r="U462" s="2" t="s">
        <v>37</v>
      </c>
      <c r="V462" s="44" t="s">
        <v>272</v>
      </c>
      <c r="W462" s="2"/>
    </row>
    <row r="463" spans="1:64" x14ac:dyDescent="0.35">
      <c r="A463" s="2"/>
      <c r="B463" s="2" t="s">
        <v>81</v>
      </c>
      <c r="C463" s="2" t="s">
        <v>83</v>
      </c>
      <c r="D463" s="2" t="s">
        <v>188</v>
      </c>
      <c r="E463" s="2" t="s">
        <v>82</v>
      </c>
      <c r="F463" s="2" t="s">
        <v>70</v>
      </c>
      <c r="G463" s="2" t="s">
        <v>1024</v>
      </c>
      <c r="H463" s="36"/>
      <c r="I463" s="5">
        <v>0.90357142857142869</v>
      </c>
      <c r="J463" s="5">
        <v>0.35279496271104233</v>
      </c>
      <c r="K463" s="34">
        <v>7</v>
      </c>
      <c r="L463" s="34"/>
      <c r="M463" s="5"/>
      <c r="N463" s="5"/>
      <c r="O463" s="34"/>
      <c r="P463" s="11" t="s">
        <v>74</v>
      </c>
      <c r="Q463" s="39" t="s">
        <v>1137</v>
      </c>
      <c r="R463" s="2" t="s">
        <v>66</v>
      </c>
      <c r="S463" s="2" t="s">
        <v>65</v>
      </c>
      <c r="T463" s="2"/>
      <c r="U463" s="2" t="s">
        <v>37</v>
      </c>
      <c r="V463" s="44" t="s">
        <v>72</v>
      </c>
      <c r="W463" s="2"/>
    </row>
    <row r="464" spans="1:64" x14ac:dyDescent="0.35">
      <c r="A464" s="2"/>
      <c r="B464" s="2" t="s">
        <v>81</v>
      </c>
      <c r="C464" s="2" t="s">
        <v>83</v>
      </c>
      <c r="D464" s="2" t="s">
        <v>188</v>
      </c>
      <c r="E464" s="2" t="s">
        <v>82</v>
      </c>
      <c r="F464" s="2" t="s">
        <v>70</v>
      </c>
      <c r="G464" s="2"/>
      <c r="H464" s="34"/>
      <c r="I464" s="5">
        <v>1.35</v>
      </c>
      <c r="J464" s="5">
        <v>0.05</v>
      </c>
      <c r="K464" s="34" t="s">
        <v>69</v>
      </c>
      <c r="L464" s="34"/>
      <c r="M464" s="5"/>
      <c r="N464" s="5"/>
      <c r="O464" s="34"/>
      <c r="P464" s="11" t="s">
        <v>68</v>
      </c>
      <c r="Q464" s="39" t="s">
        <v>67</v>
      </c>
      <c r="R464" s="2" t="s">
        <v>66</v>
      </c>
      <c r="S464" s="2" t="s">
        <v>65</v>
      </c>
      <c r="T464" s="2"/>
      <c r="U464" s="2" t="s">
        <v>37</v>
      </c>
      <c r="V464" s="44" t="s">
        <v>64</v>
      </c>
      <c r="W464" s="2"/>
    </row>
    <row r="465" spans="1:23" x14ac:dyDescent="0.35">
      <c r="A465" s="2"/>
      <c r="B465" s="2" t="s">
        <v>81</v>
      </c>
      <c r="C465" s="2" t="s">
        <v>83</v>
      </c>
      <c r="D465" s="2" t="s">
        <v>188</v>
      </c>
      <c r="E465" s="2" t="s">
        <v>82</v>
      </c>
      <c r="F465" s="2" t="s">
        <v>59</v>
      </c>
      <c r="G465" s="2"/>
      <c r="H465" s="34"/>
      <c r="I465" s="5">
        <v>2</v>
      </c>
      <c r="J465" s="5"/>
      <c r="K465" s="34">
        <v>1</v>
      </c>
      <c r="L465" s="34"/>
      <c r="M465" s="5"/>
      <c r="N465" s="5"/>
      <c r="O465" s="34"/>
      <c r="P465" s="11" t="s">
        <v>68</v>
      </c>
      <c r="Q465" s="39" t="s">
        <v>233</v>
      </c>
      <c r="R465" s="2" t="s">
        <v>271</v>
      </c>
      <c r="S465" s="2" t="s">
        <v>270</v>
      </c>
      <c r="T465" s="2"/>
      <c r="U465" s="2" t="s">
        <v>37</v>
      </c>
      <c r="V465" s="44" t="s">
        <v>269</v>
      </c>
      <c r="W465" s="2"/>
    </row>
    <row r="466" spans="1:23" x14ac:dyDescent="0.35">
      <c r="A466" s="2"/>
      <c r="B466" s="2" t="s">
        <v>81</v>
      </c>
      <c r="C466" s="2" t="s">
        <v>83</v>
      </c>
      <c r="D466" s="2" t="s">
        <v>188</v>
      </c>
      <c r="E466" s="2" t="s">
        <v>82</v>
      </c>
      <c r="F466" s="2" t="s">
        <v>59</v>
      </c>
      <c r="G466" s="2" t="s">
        <v>1173</v>
      </c>
      <c r="H466" s="34" t="s">
        <v>268</v>
      </c>
      <c r="I466" s="5">
        <v>1.05</v>
      </c>
      <c r="J466" s="5"/>
      <c r="K466" s="34">
        <v>4</v>
      </c>
      <c r="L466" s="34"/>
      <c r="M466" s="5"/>
      <c r="N466" s="5"/>
      <c r="O466" s="34"/>
      <c r="P466" s="11" t="s">
        <v>267</v>
      </c>
      <c r="Q466" s="39" t="s">
        <v>94</v>
      </c>
      <c r="R466" s="2" t="s">
        <v>66</v>
      </c>
      <c r="S466" s="2" t="s">
        <v>266</v>
      </c>
      <c r="T466" s="2"/>
      <c r="U466" s="2" t="s">
        <v>37</v>
      </c>
      <c r="V466" s="44" t="s">
        <v>265</v>
      </c>
      <c r="W466" s="2"/>
    </row>
    <row r="467" spans="1:23" x14ac:dyDescent="0.35">
      <c r="A467" s="2"/>
      <c r="B467" s="2" t="s">
        <v>81</v>
      </c>
      <c r="C467" s="2" t="s">
        <v>83</v>
      </c>
      <c r="D467" s="2" t="s">
        <v>188</v>
      </c>
      <c r="E467" s="2" t="s">
        <v>82</v>
      </c>
      <c r="F467" s="2" t="s">
        <v>59</v>
      </c>
      <c r="G467" s="2"/>
      <c r="H467" s="34" t="s">
        <v>264</v>
      </c>
      <c r="I467" s="5">
        <v>1.33</v>
      </c>
      <c r="J467" s="5"/>
      <c r="K467" s="34">
        <v>3</v>
      </c>
      <c r="L467" s="34"/>
      <c r="M467" s="5"/>
      <c r="N467" s="5"/>
      <c r="O467" s="34"/>
      <c r="P467" s="2"/>
      <c r="Q467" s="42" t="s">
        <v>263</v>
      </c>
      <c r="R467" s="2" t="s">
        <v>4</v>
      </c>
      <c r="S467" s="2" t="s">
        <v>180</v>
      </c>
      <c r="T467" s="2"/>
      <c r="U467" s="2" t="s">
        <v>1215</v>
      </c>
      <c r="V467" s="44" t="s">
        <v>179</v>
      </c>
      <c r="W467" s="2"/>
    </row>
    <row r="468" spans="1:23" x14ac:dyDescent="0.35">
      <c r="A468" s="2"/>
      <c r="B468" s="2" t="s">
        <v>81</v>
      </c>
      <c r="C468" s="2" t="s">
        <v>83</v>
      </c>
      <c r="D468" s="2" t="s">
        <v>188</v>
      </c>
      <c r="E468" s="2" t="s">
        <v>82</v>
      </c>
      <c r="F468" s="2" t="s">
        <v>116</v>
      </c>
      <c r="G468" s="2"/>
      <c r="H468" s="34" t="s">
        <v>262</v>
      </c>
      <c r="I468" s="5">
        <v>1.52</v>
      </c>
      <c r="J468" s="5"/>
      <c r="K468" s="34">
        <v>1</v>
      </c>
      <c r="L468" s="34" t="s">
        <v>261</v>
      </c>
      <c r="M468" s="5">
        <f>AVERAGE(1,1.75)</f>
        <v>1.375</v>
      </c>
      <c r="N468" s="5"/>
      <c r="O468" s="34"/>
      <c r="P468" s="11"/>
      <c r="Q468" s="39" t="s">
        <v>260</v>
      </c>
      <c r="R468" s="2" t="s">
        <v>256</v>
      </c>
      <c r="S468" s="2" t="s">
        <v>259</v>
      </c>
      <c r="T468" s="2"/>
      <c r="U468" s="2" t="s">
        <v>126</v>
      </c>
      <c r="V468" s="44" t="s">
        <v>258</v>
      </c>
      <c r="W468" s="2"/>
    </row>
    <row r="469" spans="1:23" x14ac:dyDescent="0.35">
      <c r="A469" s="2"/>
      <c r="B469" s="2" t="s">
        <v>81</v>
      </c>
      <c r="C469" s="2" t="s">
        <v>83</v>
      </c>
      <c r="D469" s="2" t="s">
        <v>188</v>
      </c>
      <c r="E469" s="2" t="s">
        <v>82</v>
      </c>
      <c r="F469" s="2" t="s">
        <v>59</v>
      </c>
      <c r="G469" s="2" t="s">
        <v>1175</v>
      </c>
      <c r="H469" s="34" t="s">
        <v>1174</v>
      </c>
      <c r="I469" s="5">
        <v>1.0094999999999998</v>
      </c>
      <c r="J469" s="5">
        <v>0.11208478933378981</v>
      </c>
      <c r="K469" s="34">
        <v>8</v>
      </c>
      <c r="L469" s="34"/>
      <c r="M469" s="5"/>
      <c r="N469" s="5"/>
      <c r="O469" s="34"/>
      <c r="P469" s="11" t="s">
        <v>257</v>
      </c>
      <c r="Q469" s="39" t="s">
        <v>1176</v>
      </c>
      <c r="R469" s="2" t="s">
        <v>256</v>
      </c>
      <c r="S469" s="2" t="s">
        <v>255</v>
      </c>
      <c r="T469" s="2"/>
      <c r="U469" s="2" t="s">
        <v>126</v>
      </c>
      <c r="V469" s="44" t="s">
        <v>254</v>
      </c>
      <c r="W469" s="2"/>
    </row>
    <row r="470" spans="1:23" x14ac:dyDescent="0.35">
      <c r="A470" s="2"/>
      <c r="B470" s="2" t="s">
        <v>81</v>
      </c>
      <c r="C470" s="2" t="s">
        <v>83</v>
      </c>
      <c r="D470" s="2" t="s">
        <v>188</v>
      </c>
      <c r="E470" s="2" t="s">
        <v>82</v>
      </c>
      <c r="F470" s="2" t="s">
        <v>59</v>
      </c>
      <c r="G470" s="2" t="s">
        <v>253</v>
      </c>
      <c r="H470" s="34"/>
      <c r="I470" s="5">
        <v>0.56599999999999995</v>
      </c>
      <c r="J470" s="5">
        <v>4.7E-2</v>
      </c>
      <c r="K470" s="34">
        <v>1</v>
      </c>
      <c r="L470" s="34"/>
      <c r="M470" s="5"/>
      <c r="N470" s="5"/>
      <c r="O470" s="34"/>
      <c r="P470" s="11" t="s">
        <v>252</v>
      </c>
      <c r="Q470" s="39" t="s">
        <v>113</v>
      </c>
      <c r="R470" s="2" t="s">
        <v>251</v>
      </c>
      <c r="S470" s="2" t="s">
        <v>250</v>
      </c>
      <c r="T470" s="2"/>
      <c r="U470" s="2" t="s">
        <v>126</v>
      </c>
      <c r="V470" s="44" t="s">
        <v>249</v>
      </c>
      <c r="W470" s="2"/>
    </row>
    <row r="471" spans="1:23" x14ac:dyDescent="0.35">
      <c r="A471" s="2"/>
      <c r="B471" s="2" t="s">
        <v>81</v>
      </c>
      <c r="C471" s="2" t="s">
        <v>83</v>
      </c>
      <c r="D471" s="2" t="s">
        <v>188</v>
      </c>
      <c r="E471" s="2" t="s">
        <v>82</v>
      </c>
      <c r="F471" s="2" t="s">
        <v>59</v>
      </c>
      <c r="G471" s="2" t="s">
        <v>248</v>
      </c>
      <c r="H471" s="34" t="s">
        <v>247</v>
      </c>
      <c r="I471" s="5">
        <v>1.1445000000000001</v>
      </c>
      <c r="J471" s="5">
        <v>0.21029999999999999</v>
      </c>
      <c r="K471" s="34">
        <v>45</v>
      </c>
      <c r="L471" s="34" t="s">
        <v>246</v>
      </c>
      <c r="M471" s="5">
        <v>1.1559999999999999</v>
      </c>
      <c r="N471" s="5">
        <v>7.6999999999999999E-2</v>
      </c>
      <c r="O471" s="34">
        <v>45</v>
      </c>
      <c r="P471" s="2" t="s">
        <v>28</v>
      </c>
      <c r="Q471" s="39" t="s">
        <v>245</v>
      </c>
      <c r="R471" s="2" t="s">
        <v>244</v>
      </c>
      <c r="S471" s="2" t="s">
        <v>243</v>
      </c>
      <c r="T471" s="2"/>
      <c r="U471" s="2" t="s">
        <v>242</v>
      </c>
      <c r="V471" s="44" t="s">
        <v>241</v>
      </c>
      <c r="W471" s="2"/>
    </row>
    <row r="472" spans="1:23" x14ac:dyDescent="0.35">
      <c r="A472" s="2"/>
      <c r="B472" s="3" t="s">
        <v>81</v>
      </c>
      <c r="C472" s="3" t="s">
        <v>83</v>
      </c>
      <c r="D472" s="3" t="s">
        <v>188</v>
      </c>
      <c r="E472" s="3" t="s">
        <v>82</v>
      </c>
      <c r="F472" s="3" t="s">
        <v>59</v>
      </c>
      <c r="H472" s="32" t="s">
        <v>240</v>
      </c>
      <c r="I472" s="4">
        <v>0.63</v>
      </c>
      <c r="J472" s="4">
        <v>0.15</v>
      </c>
      <c r="K472" s="32">
        <v>6</v>
      </c>
      <c r="P472" s="3" t="s">
        <v>120</v>
      </c>
      <c r="Q472" s="26" t="s">
        <v>87</v>
      </c>
      <c r="R472" s="3" t="s">
        <v>15</v>
      </c>
      <c r="S472" s="3" t="s">
        <v>239</v>
      </c>
      <c r="U472" s="3" t="s">
        <v>13</v>
      </c>
      <c r="V472" s="10" t="s">
        <v>238</v>
      </c>
    </row>
    <row r="473" spans="1:23" s="2" customFormat="1" ht="14" x14ac:dyDescent="0.3">
      <c r="B473" s="3" t="s">
        <v>81</v>
      </c>
      <c r="C473" s="3" t="s">
        <v>83</v>
      </c>
      <c r="D473" s="3" t="s">
        <v>188</v>
      </c>
      <c r="E473" s="2" t="s">
        <v>82</v>
      </c>
      <c r="F473" s="3" t="s">
        <v>31</v>
      </c>
      <c r="G473" s="3" t="s">
        <v>1177</v>
      </c>
      <c r="H473" s="32" t="s">
        <v>221</v>
      </c>
      <c r="I473" s="4">
        <v>1.47</v>
      </c>
      <c r="J473" s="4"/>
      <c r="K473" s="32"/>
      <c r="L473" s="32"/>
      <c r="M473" s="4"/>
      <c r="N473" s="4"/>
      <c r="O473" s="32"/>
      <c r="P473" s="6" t="s">
        <v>114</v>
      </c>
      <c r="Q473" s="26" t="s">
        <v>40</v>
      </c>
      <c r="R473" s="3" t="s">
        <v>102</v>
      </c>
      <c r="S473" s="3" t="s">
        <v>237</v>
      </c>
      <c r="T473" s="3" t="s">
        <v>236</v>
      </c>
      <c r="U473" s="3" t="s">
        <v>13</v>
      </c>
      <c r="V473" s="10" t="s">
        <v>235</v>
      </c>
      <c r="W473" s="3"/>
    </row>
    <row r="474" spans="1:23" s="2" customFormat="1" ht="14" x14ac:dyDescent="0.3">
      <c r="B474" s="3" t="s">
        <v>81</v>
      </c>
      <c r="C474" s="3" t="s">
        <v>83</v>
      </c>
      <c r="D474" s="3" t="s">
        <v>188</v>
      </c>
      <c r="E474" s="2" t="s">
        <v>82</v>
      </c>
      <c r="F474" s="3" t="s">
        <v>234</v>
      </c>
      <c r="G474" s="3" t="s">
        <v>1041</v>
      </c>
      <c r="H474" s="32"/>
      <c r="I474" s="4">
        <v>1.2650000000000001</v>
      </c>
      <c r="J474" s="4">
        <v>0.26099999999999979</v>
      </c>
      <c r="K474" s="32">
        <v>6</v>
      </c>
      <c r="L474" s="32"/>
      <c r="M474" s="4"/>
      <c r="N474" s="4"/>
      <c r="O474" s="32"/>
      <c r="P474" s="3" t="s">
        <v>74</v>
      </c>
      <c r="Q474" s="26" t="s">
        <v>233</v>
      </c>
      <c r="R474" s="3" t="s">
        <v>112</v>
      </c>
      <c r="S474" s="3" t="s">
        <v>232</v>
      </c>
      <c r="T474" s="3" t="s">
        <v>231</v>
      </c>
      <c r="U474" s="3" t="s">
        <v>13</v>
      </c>
      <c r="V474" s="10" t="s">
        <v>230</v>
      </c>
      <c r="W474" s="3"/>
    </row>
    <row r="475" spans="1:23" s="2" customFormat="1" ht="14" x14ac:dyDescent="0.3">
      <c r="B475" s="3" t="s">
        <v>81</v>
      </c>
      <c r="C475" s="3" t="s">
        <v>83</v>
      </c>
      <c r="D475" s="3" t="s">
        <v>188</v>
      </c>
      <c r="E475" s="2" t="s">
        <v>82</v>
      </c>
      <c r="F475" s="3" t="s">
        <v>229</v>
      </c>
      <c r="G475" s="3" t="s">
        <v>228</v>
      </c>
      <c r="H475" s="32" t="s">
        <v>227</v>
      </c>
      <c r="I475" s="4">
        <v>1.1260000000000003</v>
      </c>
      <c r="J475" s="4">
        <v>8.1349042198827631E-2</v>
      </c>
      <c r="K475" s="32">
        <v>25</v>
      </c>
      <c r="L475" s="32" t="s">
        <v>226</v>
      </c>
      <c r="M475" s="4"/>
      <c r="N475" s="4"/>
      <c r="O475" s="32"/>
      <c r="P475" s="6" t="s">
        <v>208</v>
      </c>
      <c r="Q475" s="26" t="s">
        <v>225</v>
      </c>
      <c r="R475" s="3" t="s">
        <v>102</v>
      </c>
      <c r="S475" s="3" t="s">
        <v>224</v>
      </c>
      <c r="T475" s="3" t="s">
        <v>223</v>
      </c>
      <c r="U475" s="3" t="s">
        <v>13</v>
      </c>
      <c r="V475" s="10" t="s">
        <v>222</v>
      </c>
      <c r="W475" s="3"/>
    </row>
    <row r="476" spans="1:23" s="2" customFormat="1" ht="14" x14ac:dyDescent="0.3">
      <c r="B476" s="3" t="s">
        <v>81</v>
      </c>
      <c r="C476" s="3" t="s">
        <v>83</v>
      </c>
      <c r="D476" s="3" t="s">
        <v>188</v>
      </c>
      <c r="E476" s="2" t="s">
        <v>82</v>
      </c>
      <c r="F476" s="3" t="s">
        <v>31</v>
      </c>
      <c r="G476" s="3"/>
      <c r="H476" s="32" t="s">
        <v>221</v>
      </c>
      <c r="I476" s="4">
        <v>1.74</v>
      </c>
      <c r="J476" s="4">
        <v>0.11162437009900704</v>
      </c>
      <c r="K476" s="32">
        <v>6</v>
      </c>
      <c r="L476" s="32"/>
      <c r="M476" s="4"/>
      <c r="N476" s="4"/>
      <c r="O476" s="32"/>
      <c r="P476" s="6"/>
      <c r="Q476" s="26" t="s">
        <v>220</v>
      </c>
      <c r="R476" s="3" t="s">
        <v>102</v>
      </c>
      <c r="S476" s="3" t="s">
        <v>219</v>
      </c>
      <c r="T476" s="3"/>
      <c r="U476" s="3" t="s">
        <v>13</v>
      </c>
      <c r="V476" s="10" t="s">
        <v>218</v>
      </c>
      <c r="W476" s="3"/>
    </row>
    <row r="477" spans="1:23" s="2" customFormat="1" ht="14" x14ac:dyDescent="0.3">
      <c r="B477" s="3" t="s">
        <v>81</v>
      </c>
      <c r="C477" s="3" t="s">
        <v>83</v>
      </c>
      <c r="D477" s="3" t="s">
        <v>188</v>
      </c>
      <c r="E477" s="2" t="s">
        <v>82</v>
      </c>
      <c r="F477" s="3" t="s">
        <v>217</v>
      </c>
      <c r="G477" s="3"/>
      <c r="H477" s="32" t="s">
        <v>216</v>
      </c>
      <c r="I477" s="4">
        <v>2.0646728971962611</v>
      </c>
      <c r="J477" s="4">
        <v>4.8587946384797021E-2</v>
      </c>
      <c r="K477" s="32" t="s">
        <v>215</v>
      </c>
      <c r="L477" s="32"/>
      <c r="M477" s="4">
        <v>1.19</v>
      </c>
      <c r="N477" s="4">
        <v>0.02</v>
      </c>
      <c r="O477" s="32">
        <v>11</v>
      </c>
      <c r="P477" s="6" t="s">
        <v>208</v>
      </c>
      <c r="Q477" s="26" t="s">
        <v>194</v>
      </c>
      <c r="R477" s="3" t="s">
        <v>102</v>
      </c>
      <c r="S477" s="3" t="s">
        <v>214</v>
      </c>
      <c r="T477" s="3" t="s">
        <v>213</v>
      </c>
      <c r="U477" s="3" t="s">
        <v>13</v>
      </c>
      <c r="V477" s="10" t="s">
        <v>212</v>
      </c>
      <c r="W477" s="3"/>
    </row>
    <row r="478" spans="1:23" s="2" customFormat="1" ht="14" x14ac:dyDescent="0.3">
      <c r="B478" s="3" t="s">
        <v>81</v>
      </c>
      <c r="C478" s="3" t="s">
        <v>83</v>
      </c>
      <c r="D478" s="3" t="s">
        <v>188</v>
      </c>
      <c r="E478" s="2" t="s">
        <v>82</v>
      </c>
      <c r="F478" s="3" t="s">
        <v>59</v>
      </c>
      <c r="G478" s="3" t="s">
        <v>211</v>
      </c>
      <c r="H478" s="32" t="s">
        <v>210</v>
      </c>
      <c r="I478" s="4">
        <v>1.7581249999999999</v>
      </c>
      <c r="J478" s="4">
        <v>7.7803882913570252E-2</v>
      </c>
      <c r="K478" s="32" t="s">
        <v>209</v>
      </c>
      <c r="L478" s="32"/>
      <c r="M478" s="4">
        <v>1.2</v>
      </c>
      <c r="N478" s="4">
        <v>0.03</v>
      </c>
      <c r="O478" s="32"/>
      <c r="P478" s="6" t="s">
        <v>208</v>
      </c>
      <c r="Q478" s="26" t="s">
        <v>194</v>
      </c>
      <c r="R478" s="3" t="s">
        <v>102</v>
      </c>
      <c r="S478" s="3" t="s">
        <v>207</v>
      </c>
      <c r="T478" s="3"/>
      <c r="U478" s="3" t="s">
        <v>13</v>
      </c>
      <c r="V478" s="10" t="s">
        <v>206</v>
      </c>
      <c r="W478" s="3"/>
    </row>
    <row r="479" spans="1:23" s="2" customFormat="1" ht="14" x14ac:dyDescent="0.3">
      <c r="B479" s="3" t="s">
        <v>81</v>
      </c>
      <c r="C479" s="3" t="s">
        <v>83</v>
      </c>
      <c r="D479" s="3" t="s">
        <v>188</v>
      </c>
      <c r="E479" s="2" t="s">
        <v>82</v>
      </c>
      <c r="F479" s="3" t="s">
        <v>59</v>
      </c>
      <c r="G479" s="3" t="s">
        <v>205</v>
      </c>
      <c r="H479" s="32" t="s">
        <v>204</v>
      </c>
      <c r="I479" s="4">
        <v>1.1299999999999999</v>
      </c>
      <c r="J479" s="4">
        <v>0.02</v>
      </c>
      <c r="K479" s="32">
        <v>9</v>
      </c>
      <c r="L479" s="32"/>
      <c r="M479" s="4"/>
      <c r="N479" s="4"/>
      <c r="O479" s="32"/>
      <c r="P479" s="6" t="s">
        <v>68</v>
      </c>
      <c r="Q479" s="26" t="s">
        <v>203</v>
      </c>
      <c r="R479" s="3" t="s">
        <v>15</v>
      </c>
      <c r="S479" s="3" t="s">
        <v>202</v>
      </c>
      <c r="T479" s="3"/>
      <c r="U479" s="3" t="s">
        <v>13</v>
      </c>
      <c r="V479" s="10" t="s">
        <v>201</v>
      </c>
      <c r="W479" s="3"/>
    </row>
    <row r="480" spans="1:23" s="2" customFormat="1" ht="14" x14ac:dyDescent="0.3">
      <c r="B480" s="3" t="s">
        <v>81</v>
      </c>
      <c r="C480" s="3" t="s">
        <v>83</v>
      </c>
      <c r="D480" s="3" t="s">
        <v>188</v>
      </c>
      <c r="E480" s="3" t="s">
        <v>82</v>
      </c>
      <c r="F480" s="3" t="s">
        <v>59</v>
      </c>
      <c r="G480" s="3"/>
      <c r="H480" s="32" t="s">
        <v>200</v>
      </c>
      <c r="I480" s="4">
        <v>0.34100000000000003</v>
      </c>
      <c r="J480" s="4">
        <v>3.6999999999999998E-2</v>
      </c>
      <c r="K480" s="32">
        <v>7</v>
      </c>
      <c r="L480" s="32" t="s">
        <v>199</v>
      </c>
      <c r="M480" s="4">
        <v>1.58</v>
      </c>
      <c r="N480" s="4">
        <v>0.03</v>
      </c>
      <c r="O480" s="32">
        <v>7</v>
      </c>
      <c r="P480" s="3" t="s">
        <v>120</v>
      </c>
      <c r="Q480" s="26" t="s">
        <v>133</v>
      </c>
      <c r="R480" s="3" t="s">
        <v>198</v>
      </c>
      <c r="S480" s="3" t="s">
        <v>197</v>
      </c>
      <c r="T480" s="3"/>
      <c r="U480" s="3" t="s">
        <v>13</v>
      </c>
      <c r="V480" s="10" t="s">
        <v>1178</v>
      </c>
      <c r="W480" s="3"/>
    </row>
    <row r="481" spans="1:23" s="2" customFormat="1" ht="14" x14ac:dyDescent="0.3">
      <c r="B481" s="3" t="s">
        <v>81</v>
      </c>
      <c r="C481" s="3" t="s">
        <v>83</v>
      </c>
      <c r="D481" s="3" t="s">
        <v>188</v>
      </c>
      <c r="E481" s="2" t="s">
        <v>82</v>
      </c>
      <c r="F481" s="3" t="s">
        <v>59</v>
      </c>
      <c r="G481" s="3" t="s">
        <v>196</v>
      </c>
      <c r="H481" s="32"/>
      <c r="I481" s="4">
        <v>1.3</v>
      </c>
      <c r="J481" s="4"/>
      <c r="K481" s="32">
        <v>1</v>
      </c>
      <c r="L481" s="32"/>
      <c r="M481" s="4">
        <v>1.1000000000000001</v>
      </c>
      <c r="N481" s="4"/>
      <c r="O481" s="32"/>
      <c r="P481" s="6" t="s">
        <v>195</v>
      </c>
      <c r="Q481" s="26" t="s">
        <v>194</v>
      </c>
      <c r="R481" s="3" t="s">
        <v>4</v>
      </c>
      <c r="S481" s="3" t="s">
        <v>193</v>
      </c>
      <c r="T481" s="3"/>
      <c r="U481" s="3" t="s">
        <v>191</v>
      </c>
      <c r="V481" s="10" t="s">
        <v>190</v>
      </c>
      <c r="W481" s="3"/>
    </row>
    <row r="482" spans="1:23" s="2" customFormat="1" ht="14" x14ac:dyDescent="0.3">
      <c r="B482" s="3" t="s">
        <v>81</v>
      </c>
      <c r="C482" s="3" t="s">
        <v>83</v>
      </c>
      <c r="D482" s="3" t="s">
        <v>188</v>
      </c>
      <c r="E482" s="2" t="s">
        <v>82</v>
      </c>
      <c r="F482" s="3" t="s">
        <v>59</v>
      </c>
      <c r="G482" s="3"/>
      <c r="H482" s="32"/>
      <c r="I482" s="4">
        <v>1.2</v>
      </c>
      <c r="J482" s="4"/>
      <c r="K482" s="32">
        <v>1</v>
      </c>
      <c r="L482" s="32"/>
      <c r="M482" s="4">
        <v>1</v>
      </c>
      <c r="N482" s="4"/>
      <c r="O482" s="32"/>
      <c r="P482" s="6" t="s">
        <v>74</v>
      </c>
      <c r="Q482" s="26" t="s">
        <v>87</v>
      </c>
      <c r="R482" s="3" t="s">
        <v>4</v>
      </c>
      <c r="S482" s="3" t="s">
        <v>192</v>
      </c>
      <c r="T482" s="3"/>
      <c r="U482" s="3" t="s">
        <v>191</v>
      </c>
      <c r="V482" s="10" t="s">
        <v>190</v>
      </c>
      <c r="W482" s="3"/>
    </row>
    <row r="483" spans="1:23" s="2" customFormat="1" ht="14" x14ac:dyDescent="0.3">
      <c r="B483" s="3" t="s">
        <v>81</v>
      </c>
      <c r="C483" s="3" t="s">
        <v>83</v>
      </c>
      <c r="D483" s="3" t="s">
        <v>188</v>
      </c>
      <c r="E483" s="2" t="s">
        <v>82</v>
      </c>
      <c r="F483" s="3" t="s">
        <v>59</v>
      </c>
      <c r="G483" s="3" t="s">
        <v>1179</v>
      </c>
      <c r="H483" s="32" t="s">
        <v>187</v>
      </c>
      <c r="I483" s="4">
        <v>1.7725</v>
      </c>
      <c r="J483" s="4">
        <v>0.14619479014885131</v>
      </c>
      <c r="K483" s="32">
        <v>4</v>
      </c>
      <c r="L483" s="32"/>
      <c r="M483" s="4"/>
      <c r="N483" s="4"/>
      <c r="O483" s="32"/>
      <c r="P483" s="6" t="s">
        <v>186</v>
      </c>
      <c r="Q483" s="26" t="s">
        <v>40</v>
      </c>
      <c r="R483" s="3" t="s">
        <v>185</v>
      </c>
      <c r="S483" s="3" t="s">
        <v>184</v>
      </c>
      <c r="T483" s="3"/>
      <c r="U483" s="3" t="s">
        <v>85</v>
      </c>
      <c r="V483" s="10" t="s">
        <v>183</v>
      </c>
      <c r="W483" s="3"/>
    </row>
    <row r="484" spans="1:23" s="2" customFormat="1" ht="14" x14ac:dyDescent="0.3">
      <c r="B484" s="2" t="s">
        <v>81</v>
      </c>
      <c r="C484" s="2" t="s">
        <v>83</v>
      </c>
      <c r="D484" s="2" t="s">
        <v>188</v>
      </c>
      <c r="E484" s="2" t="s">
        <v>82</v>
      </c>
      <c r="F484" s="2" t="s">
        <v>59</v>
      </c>
      <c r="G484" s="2" t="s">
        <v>1686</v>
      </c>
      <c r="H484" s="34" t="s">
        <v>1687</v>
      </c>
      <c r="I484" s="2">
        <v>1.347</v>
      </c>
      <c r="J484" s="2">
        <v>0.247</v>
      </c>
      <c r="K484" s="34"/>
      <c r="L484" s="34"/>
      <c r="M484" s="5"/>
      <c r="N484" s="5"/>
      <c r="O484" s="34"/>
      <c r="P484" s="11"/>
      <c r="Q484" s="39">
        <v>18</v>
      </c>
      <c r="R484" s="2" t="s">
        <v>1679</v>
      </c>
      <c r="S484" s="2" t="s">
        <v>1677</v>
      </c>
      <c r="U484" s="2" t="s">
        <v>242</v>
      </c>
      <c r="V484" s="44" t="s">
        <v>1680</v>
      </c>
    </row>
    <row r="485" spans="1:23" s="2" customFormat="1" ht="14" x14ac:dyDescent="0.3">
      <c r="B485" s="2" t="s">
        <v>81</v>
      </c>
      <c r="C485" s="2" t="s">
        <v>83</v>
      </c>
      <c r="D485" s="2" t="s">
        <v>188</v>
      </c>
      <c r="E485" s="2" t="s">
        <v>82</v>
      </c>
      <c r="F485" s="2" t="s">
        <v>59</v>
      </c>
      <c r="G485" s="2" t="s">
        <v>1686</v>
      </c>
      <c r="H485" s="34" t="s">
        <v>1684</v>
      </c>
      <c r="I485" s="5">
        <v>1.099</v>
      </c>
      <c r="J485" s="5">
        <v>0.22900000000000001</v>
      </c>
      <c r="K485" s="34">
        <v>1</v>
      </c>
      <c r="L485" s="34"/>
      <c r="M485" s="5"/>
      <c r="N485" s="5"/>
      <c r="O485" s="34"/>
      <c r="P485" s="11"/>
      <c r="Q485" s="39">
        <v>10</v>
      </c>
      <c r="R485" s="2" t="s">
        <v>480</v>
      </c>
      <c r="S485" s="2" t="s">
        <v>1678</v>
      </c>
      <c r="U485" s="2" t="s">
        <v>242</v>
      </c>
      <c r="V485" s="44" t="s">
        <v>1680</v>
      </c>
    </row>
    <row r="486" spans="1:23" s="2" customFormat="1" ht="14" x14ac:dyDescent="0.3">
      <c r="B486" s="2" t="s">
        <v>81</v>
      </c>
      <c r="C486" s="2" t="s">
        <v>83</v>
      </c>
      <c r="D486" s="2" t="s">
        <v>188</v>
      </c>
      <c r="E486" s="2" t="s">
        <v>82</v>
      </c>
      <c r="F486" s="2" t="s">
        <v>59</v>
      </c>
      <c r="G486" s="2" t="s">
        <v>1686</v>
      </c>
      <c r="H486" s="34" t="s">
        <v>1685</v>
      </c>
      <c r="I486" s="5">
        <v>0.94899999999999995</v>
      </c>
      <c r="J486" s="5">
        <v>0.247</v>
      </c>
      <c r="K486" s="34">
        <v>1</v>
      </c>
      <c r="L486" s="34"/>
      <c r="M486" s="5"/>
      <c r="N486" s="5"/>
      <c r="O486" s="34"/>
      <c r="P486" s="11"/>
      <c r="Q486" s="39">
        <v>8</v>
      </c>
      <c r="R486" s="2" t="s">
        <v>480</v>
      </c>
      <c r="S486" s="2" t="s">
        <v>1678</v>
      </c>
      <c r="U486" s="2" t="s">
        <v>242</v>
      </c>
      <c r="V486" s="44" t="s">
        <v>1680</v>
      </c>
    </row>
    <row r="487" spans="1:23" s="2" customFormat="1" ht="14" x14ac:dyDescent="0.3">
      <c r="B487" s="2" t="s">
        <v>81</v>
      </c>
      <c r="C487" s="2" t="s">
        <v>83</v>
      </c>
      <c r="D487" s="2" t="s">
        <v>188</v>
      </c>
      <c r="E487" s="2" t="s">
        <v>82</v>
      </c>
      <c r="F487" s="2" t="s">
        <v>59</v>
      </c>
      <c r="G487" s="2" t="s">
        <v>1686</v>
      </c>
      <c r="H487" s="34" t="s">
        <v>227</v>
      </c>
      <c r="I487" s="5">
        <v>1.0960000000000001</v>
      </c>
      <c r="J487" s="5">
        <v>0.219</v>
      </c>
      <c r="K487" s="34">
        <v>1</v>
      </c>
      <c r="L487" s="34"/>
      <c r="M487" s="5"/>
      <c r="N487" s="5"/>
      <c r="O487" s="34"/>
      <c r="P487" s="11"/>
      <c r="Q487" s="39">
        <v>3.5</v>
      </c>
      <c r="R487" s="2" t="s">
        <v>465</v>
      </c>
      <c r="S487" s="2" t="s">
        <v>1681</v>
      </c>
      <c r="U487" s="2" t="s">
        <v>242</v>
      </c>
      <c r="V487" s="44" t="s">
        <v>1680</v>
      </c>
    </row>
    <row r="488" spans="1:23" s="2" customFormat="1" ht="14" x14ac:dyDescent="0.3">
      <c r="B488" s="2" t="s">
        <v>81</v>
      </c>
      <c r="C488" s="2" t="s">
        <v>83</v>
      </c>
      <c r="D488" s="2" t="s">
        <v>188</v>
      </c>
      <c r="E488" s="2" t="s">
        <v>82</v>
      </c>
      <c r="F488" s="2" t="s">
        <v>59</v>
      </c>
      <c r="G488" s="2" t="s">
        <v>1686</v>
      </c>
      <c r="H488" s="34" t="s">
        <v>1688</v>
      </c>
      <c r="I488" s="5">
        <v>1.169</v>
      </c>
      <c r="J488" s="5">
        <v>0.254</v>
      </c>
      <c r="K488" s="34"/>
      <c r="L488" s="34"/>
      <c r="M488" s="5"/>
      <c r="N488" s="5"/>
      <c r="O488" s="34"/>
      <c r="P488" s="11"/>
      <c r="Q488" s="39">
        <v>7.5</v>
      </c>
      <c r="R488" s="2" t="s">
        <v>1682</v>
      </c>
      <c r="S488" s="2" t="s">
        <v>1683</v>
      </c>
      <c r="T488" s="2" t="s">
        <v>705</v>
      </c>
      <c r="U488" s="2" t="s">
        <v>242</v>
      </c>
      <c r="V488" s="44" t="s">
        <v>1680</v>
      </c>
    </row>
    <row r="489" spans="1:23" s="2" customFormat="1" ht="14" x14ac:dyDescent="0.3">
      <c r="B489" s="2" t="s">
        <v>81</v>
      </c>
      <c r="C489" s="2" t="s">
        <v>83</v>
      </c>
      <c r="D489" s="2" t="s">
        <v>188</v>
      </c>
      <c r="E489" s="2" t="s">
        <v>82</v>
      </c>
      <c r="F489" s="2" t="s">
        <v>59</v>
      </c>
      <c r="G489" s="2" t="s">
        <v>1695</v>
      </c>
      <c r="H489" s="34" t="s">
        <v>1698</v>
      </c>
      <c r="I489" s="5">
        <v>1.0516666666666665</v>
      </c>
      <c r="J489" s="5">
        <v>0.1750757411851091</v>
      </c>
      <c r="K489" s="34">
        <v>12</v>
      </c>
      <c r="L489" s="34"/>
      <c r="M489" s="5"/>
      <c r="N489" s="5"/>
      <c r="O489" s="34"/>
      <c r="P489" s="11"/>
      <c r="Q489" s="39">
        <v>10</v>
      </c>
      <c r="R489" s="2" t="s">
        <v>15</v>
      </c>
      <c r="S489" s="2" t="s">
        <v>1696</v>
      </c>
      <c r="U489" s="2" t="s">
        <v>85</v>
      </c>
      <c r="V489" s="44" t="s">
        <v>1697</v>
      </c>
    </row>
    <row r="490" spans="1:23" s="2" customFormat="1" ht="14" x14ac:dyDescent="0.3">
      <c r="B490" s="2" t="s">
        <v>81</v>
      </c>
      <c r="C490" s="2" t="s">
        <v>83</v>
      </c>
      <c r="D490" s="2" t="s">
        <v>182</v>
      </c>
      <c r="E490" s="2" t="s">
        <v>82</v>
      </c>
      <c r="F490" s="2" t="s">
        <v>59</v>
      </c>
      <c r="H490" s="34"/>
      <c r="I490" s="5">
        <v>1.3</v>
      </c>
      <c r="J490" s="5">
        <v>0.3</v>
      </c>
      <c r="K490" s="34">
        <v>1</v>
      </c>
      <c r="L490" s="34"/>
      <c r="M490" s="5"/>
      <c r="N490" s="5"/>
      <c r="O490" s="34"/>
      <c r="Q490" s="42" t="s">
        <v>181</v>
      </c>
      <c r="R490" s="2" t="s">
        <v>4</v>
      </c>
      <c r="S490" s="2" t="s">
        <v>180</v>
      </c>
      <c r="U490" s="2" t="s">
        <v>1215</v>
      </c>
      <c r="V490" s="44" t="s">
        <v>179</v>
      </c>
    </row>
    <row r="491" spans="1:23" x14ac:dyDescent="0.35">
      <c r="A491" s="2"/>
      <c r="B491" s="3" t="s">
        <v>81</v>
      </c>
      <c r="C491" s="3" t="s">
        <v>83</v>
      </c>
      <c r="D491" s="3" t="s">
        <v>178</v>
      </c>
      <c r="E491" s="3" t="s">
        <v>82</v>
      </c>
      <c r="F491" s="3" t="s">
        <v>59</v>
      </c>
      <c r="G491" s="3" t="s">
        <v>1180</v>
      </c>
      <c r="H491" s="32" t="s">
        <v>177</v>
      </c>
      <c r="I491" s="4">
        <v>0.65800000000000003</v>
      </c>
      <c r="J491" s="4">
        <v>0.12</v>
      </c>
      <c r="K491" s="32">
        <v>30</v>
      </c>
      <c r="L491" s="32" t="s">
        <v>176</v>
      </c>
      <c r="M491" s="4">
        <v>0.95299999999999996</v>
      </c>
      <c r="N491" s="4">
        <v>2.3E-2</v>
      </c>
      <c r="O491" s="32">
        <v>30</v>
      </c>
      <c r="P491" s="3" t="s">
        <v>120</v>
      </c>
      <c r="Q491" s="26" t="s">
        <v>175</v>
      </c>
      <c r="R491" s="3" t="s">
        <v>174</v>
      </c>
      <c r="S491" s="3" t="s">
        <v>173</v>
      </c>
      <c r="U491" s="3" t="s">
        <v>48</v>
      </c>
      <c r="V491" s="10" t="s">
        <v>172</v>
      </c>
    </row>
    <row r="492" spans="1:23" x14ac:dyDescent="0.35">
      <c r="A492" s="2"/>
      <c r="B492" s="3" t="s">
        <v>81</v>
      </c>
      <c r="C492" s="3" t="s">
        <v>83</v>
      </c>
      <c r="D492" s="3" t="s">
        <v>90</v>
      </c>
      <c r="E492" s="3" t="s">
        <v>82</v>
      </c>
      <c r="F492" s="3" t="s">
        <v>59</v>
      </c>
      <c r="I492" s="4">
        <v>1.462</v>
      </c>
      <c r="M492" s="4">
        <v>1.0900000000000001</v>
      </c>
      <c r="O492" s="32">
        <v>25</v>
      </c>
      <c r="P492" s="3" t="s">
        <v>168</v>
      </c>
      <c r="Q492" s="26" t="s">
        <v>167</v>
      </c>
      <c r="R492" s="3" t="s">
        <v>4</v>
      </c>
      <c r="S492" s="3" t="s">
        <v>171</v>
      </c>
      <c r="T492" s="3" t="s">
        <v>740</v>
      </c>
      <c r="U492" s="3" t="s">
        <v>1215</v>
      </c>
      <c r="V492" s="10" t="s">
        <v>170</v>
      </c>
    </row>
    <row r="493" spans="1:23" x14ac:dyDescent="0.35">
      <c r="A493" s="2"/>
      <c r="B493" s="3" t="s">
        <v>81</v>
      </c>
      <c r="C493" s="3" t="s">
        <v>83</v>
      </c>
      <c r="D493" s="3" t="s">
        <v>90</v>
      </c>
      <c r="E493" s="3" t="s">
        <v>82</v>
      </c>
      <c r="F493" s="3" t="s">
        <v>59</v>
      </c>
      <c r="I493" s="4">
        <v>1.4139999999999999</v>
      </c>
      <c r="M493" s="4">
        <v>1.19</v>
      </c>
      <c r="O493" s="32">
        <v>39</v>
      </c>
      <c r="P493" s="3" t="s">
        <v>168</v>
      </c>
      <c r="Q493" s="26" t="s">
        <v>167</v>
      </c>
      <c r="R493" s="3" t="s">
        <v>4</v>
      </c>
      <c r="S493" s="3" t="s">
        <v>157</v>
      </c>
      <c r="T493" s="3" t="s">
        <v>740</v>
      </c>
      <c r="U493" s="3" t="s">
        <v>1215</v>
      </c>
      <c r="V493" s="10" t="s">
        <v>170</v>
      </c>
    </row>
    <row r="494" spans="1:23" x14ac:dyDescent="0.35">
      <c r="A494" s="2"/>
      <c r="B494" s="3" t="s">
        <v>81</v>
      </c>
      <c r="C494" s="3" t="s">
        <v>83</v>
      </c>
      <c r="D494" s="3" t="s">
        <v>90</v>
      </c>
      <c r="E494" s="3" t="s">
        <v>82</v>
      </c>
      <c r="F494" s="3" t="s">
        <v>59</v>
      </c>
      <c r="I494" s="4">
        <v>1.524</v>
      </c>
      <c r="M494" s="4">
        <v>1.26</v>
      </c>
      <c r="O494" s="32">
        <v>42</v>
      </c>
      <c r="P494" s="3" t="s">
        <v>168</v>
      </c>
      <c r="Q494" s="26" t="s">
        <v>167</v>
      </c>
      <c r="R494" s="3" t="s">
        <v>4</v>
      </c>
      <c r="S494" s="3" t="s">
        <v>155</v>
      </c>
      <c r="T494" s="3" t="s">
        <v>1181</v>
      </c>
      <c r="U494" s="3" t="s">
        <v>1215</v>
      </c>
      <c r="V494" s="10" t="s">
        <v>169</v>
      </c>
    </row>
    <row r="495" spans="1:23" x14ac:dyDescent="0.35">
      <c r="A495" s="2"/>
      <c r="B495" s="3" t="s">
        <v>81</v>
      </c>
      <c r="C495" s="3" t="s">
        <v>83</v>
      </c>
      <c r="D495" s="3" t="s">
        <v>90</v>
      </c>
      <c r="E495" s="3" t="s">
        <v>82</v>
      </c>
      <c r="F495" s="3" t="s">
        <v>59</v>
      </c>
      <c r="I495" s="4">
        <v>1.3</v>
      </c>
      <c r="M495" s="4">
        <v>1.36</v>
      </c>
      <c r="O495" s="32">
        <v>38</v>
      </c>
      <c r="P495" s="3" t="s">
        <v>168</v>
      </c>
      <c r="Q495" s="26" t="s">
        <v>167</v>
      </c>
      <c r="R495" s="3" t="s">
        <v>4</v>
      </c>
      <c r="S495" s="3" t="s">
        <v>153</v>
      </c>
      <c r="T495" s="3" t="s">
        <v>1182</v>
      </c>
      <c r="U495" s="3" t="s">
        <v>1215</v>
      </c>
      <c r="V495" s="10" t="s">
        <v>166</v>
      </c>
    </row>
    <row r="496" spans="1:23" x14ac:dyDescent="0.35">
      <c r="A496" s="2"/>
      <c r="B496" s="3" t="s">
        <v>81</v>
      </c>
      <c r="C496" s="3" t="s">
        <v>83</v>
      </c>
      <c r="D496" s="3" t="s">
        <v>90</v>
      </c>
      <c r="E496" s="3" t="s">
        <v>82</v>
      </c>
      <c r="F496" s="3" t="s">
        <v>59</v>
      </c>
      <c r="I496" s="4">
        <v>1.28</v>
      </c>
      <c r="J496" s="4">
        <v>2.5999999999999999E-2</v>
      </c>
      <c r="K496" s="32">
        <v>38</v>
      </c>
      <c r="M496" s="4">
        <v>1.25</v>
      </c>
      <c r="N496" s="4">
        <v>1.2999999999999999E-2</v>
      </c>
      <c r="O496" s="32">
        <v>38</v>
      </c>
      <c r="P496" s="3" t="s">
        <v>120</v>
      </c>
      <c r="Q496" s="37" t="s">
        <v>165</v>
      </c>
      <c r="R496" s="3" t="s">
        <v>4</v>
      </c>
      <c r="S496" s="3" t="s">
        <v>164</v>
      </c>
      <c r="T496" s="3" t="s">
        <v>163</v>
      </c>
      <c r="U496" s="3" t="s">
        <v>1215</v>
      </c>
      <c r="V496" s="10" t="s">
        <v>162</v>
      </c>
    </row>
    <row r="497" spans="1:23" x14ac:dyDescent="0.35">
      <c r="A497" s="2"/>
      <c r="B497" s="3" t="s">
        <v>81</v>
      </c>
      <c r="C497" s="3" t="s">
        <v>83</v>
      </c>
      <c r="D497" s="3" t="s">
        <v>90</v>
      </c>
      <c r="E497" s="3" t="s">
        <v>82</v>
      </c>
      <c r="F497" s="3" t="s">
        <v>59</v>
      </c>
      <c r="I497" s="4">
        <v>1.24</v>
      </c>
      <c r="K497" s="32">
        <v>328</v>
      </c>
      <c r="L497" s="32" t="s">
        <v>161</v>
      </c>
      <c r="M497" s="4">
        <v>1.23</v>
      </c>
      <c r="O497" s="32">
        <v>328</v>
      </c>
      <c r="P497" s="3" t="s">
        <v>160</v>
      </c>
      <c r="Q497" s="26" t="s">
        <v>40</v>
      </c>
      <c r="R497" s="3" t="s">
        <v>4</v>
      </c>
      <c r="S497" s="3" t="s">
        <v>159</v>
      </c>
      <c r="U497" s="3" t="s">
        <v>1215</v>
      </c>
      <c r="V497" s="10" t="s">
        <v>158</v>
      </c>
    </row>
    <row r="498" spans="1:23" x14ac:dyDescent="0.35">
      <c r="A498" s="2"/>
      <c r="B498" s="3" t="s">
        <v>81</v>
      </c>
      <c r="C498" s="3" t="s">
        <v>83</v>
      </c>
      <c r="D498" s="3" t="s">
        <v>90</v>
      </c>
      <c r="E498" s="3" t="s">
        <v>82</v>
      </c>
      <c r="F498" s="3" t="s">
        <v>59</v>
      </c>
      <c r="I498" s="4">
        <v>1.3560000000000001</v>
      </c>
      <c r="J498" s="4">
        <v>0.35</v>
      </c>
      <c r="K498" s="32">
        <v>7</v>
      </c>
      <c r="M498" s="4">
        <v>1.33</v>
      </c>
      <c r="N498" s="4">
        <v>0.21</v>
      </c>
      <c r="O498" s="32">
        <v>7</v>
      </c>
      <c r="P498" s="3" t="s">
        <v>68</v>
      </c>
      <c r="Q498" s="26" t="s">
        <v>133</v>
      </c>
      <c r="R498" s="3" t="s">
        <v>4</v>
      </c>
      <c r="S498" s="3" t="s">
        <v>157</v>
      </c>
      <c r="U498" s="3" t="s">
        <v>1215</v>
      </c>
      <c r="V498" s="10" t="s">
        <v>156</v>
      </c>
    </row>
    <row r="499" spans="1:23" x14ac:dyDescent="0.35">
      <c r="A499" s="2"/>
      <c r="B499" s="3" t="s">
        <v>81</v>
      </c>
      <c r="C499" s="3" t="s">
        <v>83</v>
      </c>
      <c r="D499" s="3" t="s">
        <v>90</v>
      </c>
      <c r="E499" s="3" t="s">
        <v>82</v>
      </c>
      <c r="F499" s="3" t="s">
        <v>59</v>
      </c>
      <c r="I499" s="4">
        <v>1.2290000000000001</v>
      </c>
      <c r="J499" s="4">
        <v>0.23699999999999999</v>
      </c>
      <c r="K499" s="32">
        <v>9</v>
      </c>
      <c r="M499" s="4">
        <v>1.4</v>
      </c>
      <c r="N499" s="4">
        <v>0.13</v>
      </c>
      <c r="O499" s="32">
        <v>9</v>
      </c>
      <c r="P499" s="3" t="s">
        <v>68</v>
      </c>
      <c r="Q499" s="26" t="s">
        <v>133</v>
      </c>
      <c r="R499" s="3" t="s">
        <v>4</v>
      </c>
      <c r="S499" s="3" t="s">
        <v>155</v>
      </c>
      <c r="U499" s="3" t="s">
        <v>1215</v>
      </c>
      <c r="V499" s="10" t="s">
        <v>154</v>
      </c>
    </row>
    <row r="500" spans="1:23" x14ac:dyDescent="0.35">
      <c r="A500" s="2"/>
      <c r="B500" s="3" t="s">
        <v>81</v>
      </c>
      <c r="C500" s="3" t="s">
        <v>83</v>
      </c>
      <c r="D500" s="3" t="s">
        <v>90</v>
      </c>
      <c r="E500" s="3" t="s">
        <v>82</v>
      </c>
      <c r="F500" s="3" t="s">
        <v>59</v>
      </c>
      <c r="I500" s="4">
        <v>0.82199999999999995</v>
      </c>
      <c r="J500" s="4">
        <v>0.10199999999999999</v>
      </c>
      <c r="K500" s="32">
        <v>9</v>
      </c>
      <c r="M500" s="4">
        <v>1.56</v>
      </c>
      <c r="N500" s="4">
        <v>0.16</v>
      </c>
      <c r="O500" s="32">
        <v>9</v>
      </c>
      <c r="P500" s="3" t="s">
        <v>68</v>
      </c>
      <c r="Q500" s="26" t="s">
        <v>133</v>
      </c>
      <c r="R500" s="3" t="s">
        <v>4</v>
      </c>
      <c r="S500" s="3" t="s">
        <v>153</v>
      </c>
      <c r="U500" s="3" t="s">
        <v>1215</v>
      </c>
      <c r="V500" s="10" t="s">
        <v>152</v>
      </c>
    </row>
    <row r="501" spans="1:23" x14ac:dyDescent="0.35">
      <c r="A501" s="2"/>
      <c r="B501" s="3" t="s">
        <v>81</v>
      </c>
      <c r="C501" s="3" t="s">
        <v>83</v>
      </c>
      <c r="D501" s="3" t="s">
        <v>90</v>
      </c>
      <c r="E501" s="2" t="s">
        <v>82</v>
      </c>
      <c r="F501" s="3" t="s">
        <v>141</v>
      </c>
      <c r="G501" s="3" t="s">
        <v>151</v>
      </c>
      <c r="H501" s="32" t="s">
        <v>150</v>
      </c>
      <c r="I501" s="4">
        <v>1.5133333333333334</v>
      </c>
      <c r="J501" s="4">
        <v>0.10913803695829942</v>
      </c>
      <c r="K501" s="32">
        <v>22</v>
      </c>
      <c r="L501" s="32" t="s">
        <v>149</v>
      </c>
      <c r="M501" s="4">
        <v>1.1333333333333331</v>
      </c>
      <c r="N501" s="4">
        <v>7.3105707331537692E-2</v>
      </c>
      <c r="O501" s="32">
        <v>22</v>
      </c>
      <c r="Q501" s="26" t="s">
        <v>139</v>
      </c>
      <c r="R501" s="3" t="s">
        <v>4</v>
      </c>
      <c r="S501" s="3" t="s">
        <v>148</v>
      </c>
      <c r="T501" s="3" t="s">
        <v>147</v>
      </c>
      <c r="U501" s="3" t="s">
        <v>1215</v>
      </c>
      <c r="V501" s="10" t="s">
        <v>136</v>
      </c>
    </row>
    <row r="502" spans="1:23" x14ac:dyDescent="0.35">
      <c r="A502" s="2"/>
      <c r="B502" s="3" t="s">
        <v>81</v>
      </c>
      <c r="C502" s="3" t="s">
        <v>83</v>
      </c>
      <c r="D502" s="3" t="s">
        <v>90</v>
      </c>
      <c r="E502" s="2" t="s">
        <v>82</v>
      </c>
      <c r="F502" s="3" t="s">
        <v>141</v>
      </c>
      <c r="G502" s="3" t="s">
        <v>146</v>
      </c>
      <c r="H502" s="32" t="s">
        <v>145</v>
      </c>
      <c r="I502" s="4">
        <v>1.38</v>
      </c>
      <c r="J502" s="4">
        <v>0.10535653752852826</v>
      </c>
      <c r="K502" s="32">
        <v>13</v>
      </c>
      <c r="L502" s="32" t="s">
        <v>144</v>
      </c>
      <c r="M502" s="4">
        <v>1.3266666666666664</v>
      </c>
      <c r="N502" s="4">
        <v>5.6075346137535738E-2</v>
      </c>
      <c r="O502" s="32">
        <v>13</v>
      </c>
      <c r="Q502" s="26" t="s">
        <v>139</v>
      </c>
      <c r="R502" s="3" t="s">
        <v>4</v>
      </c>
      <c r="S502" s="3" t="s">
        <v>143</v>
      </c>
      <c r="T502" s="3" t="s">
        <v>142</v>
      </c>
      <c r="U502" s="3" t="s">
        <v>1215</v>
      </c>
      <c r="V502" s="10" t="s">
        <v>136</v>
      </c>
    </row>
    <row r="503" spans="1:23" x14ac:dyDescent="0.35">
      <c r="A503" s="2"/>
      <c r="B503" s="3" t="s">
        <v>81</v>
      </c>
      <c r="C503" s="3" t="s">
        <v>83</v>
      </c>
      <c r="D503" s="3" t="s">
        <v>90</v>
      </c>
      <c r="E503" s="2" t="s">
        <v>82</v>
      </c>
      <c r="F503" s="3" t="s">
        <v>141</v>
      </c>
      <c r="G503" s="3" t="s">
        <v>140</v>
      </c>
      <c r="I503" s="4">
        <v>1.31</v>
      </c>
      <c r="J503" s="4">
        <v>0.12</v>
      </c>
      <c r="K503" s="32">
        <v>6</v>
      </c>
      <c r="M503" s="4">
        <v>1.31</v>
      </c>
      <c r="N503" s="4">
        <v>0.12</v>
      </c>
      <c r="O503" s="32">
        <v>6</v>
      </c>
      <c r="Q503" s="26" t="s">
        <v>139</v>
      </c>
      <c r="R503" s="3" t="s">
        <v>4</v>
      </c>
      <c r="S503" s="3" t="s">
        <v>138</v>
      </c>
      <c r="T503" s="3" t="s">
        <v>137</v>
      </c>
      <c r="U503" s="3" t="s">
        <v>1215</v>
      </c>
      <c r="V503" s="10" t="s">
        <v>136</v>
      </c>
    </row>
    <row r="504" spans="1:23" x14ac:dyDescent="0.35">
      <c r="A504" s="2"/>
      <c r="B504" s="3" t="s">
        <v>81</v>
      </c>
      <c r="C504" s="3" t="s">
        <v>83</v>
      </c>
      <c r="D504" s="3" t="s">
        <v>90</v>
      </c>
      <c r="E504" s="2" t="s">
        <v>82</v>
      </c>
      <c r="F504" s="3" t="s">
        <v>59</v>
      </c>
      <c r="G504" s="3" t="s">
        <v>135</v>
      </c>
      <c r="H504" s="32" t="s">
        <v>134</v>
      </c>
      <c r="I504" s="4">
        <v>1.29</v>
      </c>
      <c r="J504" s="4">
        <v>0.34</v>
      </c>
      <c r="K504" s="32">
        <v>245</v>
      </c>
      <c r="M504" s="4">
        <v>1.28</v>
      </c>
      <c r="N504" s="4">
        <v>0.16</v>
      </c>
      <c r="Q504" s="26" t="s">
        <v>133</v>
      </c>
      <c r="R504" s="3" t="s">
        <v>4</v>
      </c>
      <c r="S504" s="3" t="s">
        <v>132</v>
      </c>
      <c r="U504" s="3" t="s">
        <v>1215</v>
      </c>
      <c r="V504" s="10" t="s">
        <v>131</v>
      </c>
    </row>
    <row r="505" spans="1:23" x14ac:dyDescent="0.35">
      <c r="A505" s="2"/>
      <c r="B505" s="3" t="s">
        <v>81</v>
      </c>
      <c r="C505" s="3" t="s">
        <v>83</v>
      </c>
      <c r="D505" s="3" t="s">
        <v>90</v>
      </c>
      <c r="E505" s="2" t="s">
        <v>82</v>
      </c>
      <c r="F505" s="3" t="s">
        <v>59</v>
      </c>
      <c r="G505" s="3" t="s">
        <v>1183</v>
      </c>
      <c r="H505" s="32" t="s">
        <v>130</v>
      </c>
      <c r="I505" s="4">
        <v>1.0086666666666668</v>
      </c>
      <c r="J505" s="4">
        <v>0.15318814036734812</v>
      </c>
      <c r="K505" s="32">
        <v>15</v>
      </c>
      <c r="P505" s="3" t="s">
        <v>74</v>
      </c>
      <c r="Q505" s="26" t="s">
        <v>129</v>
      </c>
      <c r="R505" s="3" t="s">
        <v>128</v>
      </c>
      <c r="S505" s="3" t="s">
        <v>127</v>
      </c>
      <c r="U505" s="3" t="s">
        <v>126</v>
      </c>
      <c r="V505" s="10" t="s">
        <v>125</v>
      </c>
    </row>
    <row r="506" spans="1:23" x14ac:dyDescent="0.35">
      <c r="A506" s="2"/>
      <c r="B506" s="3" t="s">
        <v>81</v>
      </c>
      <c r="C506" s="3" t="s">
        <v>83</v>
      </c>
      <c r="D506" s="3" t="s">
        <v>90</v>
      </c>
      <c r="E506" s="3" t="s">
        <v>82</v>
      </c>
      <c r="F506" s="3" t="s">
        <v>59</v>
      </c>
      <c r="H506" s="32" t="s">
        <v>124</v>
      </c>
      <c r="I506" s="4">
        <v>2.04</v>
      </c>
      <c r="M506" s="4">
        <v>1.2</v>
      </c>
      <c r="P506" s="3" t="s">
        <v>120</v>
      </c>
      <c r="Q506" s="26" t="s">
        <v>87</v>
      </c>
      <c r="R506" s="3" t="s">
        <v>112</v>
      </c>
      <c r="S506" s="3" t="s">
        <v>123</v>
      </c>
      <c r="U506" s="3" t="s">
        <v>13</v>
      </c>
      <c r="V506" s="10" t="s">
        <v>84</v>
      </c>
    </row>
    <row r="507" spans="1:23" s="2" customFormat="1" ht="14" x14ac:dyDescent="0.3">
      <c r="B507" s="3" t="s">
        <v>81</v>
      </c>
      <c r="C507" s="3" t="s">
        <v>83</v>
      </c>
      <c r="D507" s="3" t="s">
        <v>90</v>
      </c>
      <c r="E507" s="2" t="s">
        <v>82</v>
      </c>
      <c r="F507" s="3" t="s">
        <v>122</v>
      </c>
      <c r="G507" s="3"/>
      <c r="H507" s="32" t="s">
        <v>121</v>
      </c>
      <c r="I507" s="4">
        <v>1.72</v>
      </c>
      <c r="J507" s="4">
        <v>0.42</v>
      </c>
      <c r="K507" s="32">
        <v>61</v>
      </c>
      <c r="L507" s="32"/>
      <c r="M507" s="4">
        <v>1.31</v>
      </c>
      <c r="N507" s="4">
        <v>0.16</v>
      </c>
      <c r="O507" s="32">
        <v>10</v>
      </c>
      <c r="P507" s="3" t="s">
        <v>120</v>
      </c>
      <c r="Q507" s="26" t="s">
        <v>119</v>
      </c>
      <c r="R507" s="3" t="s">
        <v>15</v>
      </c>
      <c r="S507" s="3" t="s">
        <v>118</v>
      </c>
      <c r="T507" s="3"/>
      <c r="U507" s="3" t="s">
        <v>13</v>
      </c>
      <c r="V507" s="10" t="s">
        <v>117</v>
      </c>
      <c r="W507" s="3"/>
    </row>
    <row r="508" spans="1:23" s="2" customFormat="1" ht="14" x14ac:dyDescent="0.3">
      <c r="B508" s="3" t="s">
        <v>81</v>
      </c>
      <c r="C508" s="3" t="s">
        <v>83</v>
      </c>
      <c r="D508" s="3" t="s">
        <v>90</v>
      </c>
      <c r="E508" s="2" t="s">
        <v>82</v>
      </c>
      <c r="F508" s="3" t="s">
        <v>116</v>
      </c>
      <c r="G508" s="3" t="s">
        <v>54</v>
      </c>
      <c r="H508" s="32" t="s">
        <v>115</v>
      </c>
      <c r="I508" s="4">
        <v>1</v>
      </c>
      <c r="J508" s="4">
        <v>0.28999999999999998</v>
      </c>
      <c r="K508" s="32">
        <v>6</v>
      </c>
      <c r="L508" s="32"/>
      <c r="M508" s="4"/>
      <c r="N508" s="4"/>
      <c r="O508" s="32"/>
      <c r="P508" s="3" t="s">
        <v>114</v>
      </c>
      <c r="Q508" s="26" t="s">
        <v>113</v>
      </c>
      <c r="R508" s="3" t="s">
        <v>112</v>
      </c>
      <c r="S508" s="3" t="s">
        <v>111</v>
      </c>
      <c r="T508" s="3"/>
      <c r="U508" s="3" t="s">
        <v>13</v>
      </c>
      <c r="V508" s="10" t="s">
        <v>110</v>
      </c>
      <c r="W508" s="3"/>
    </row>
    <row r="509" spans="1:23" s="2" customFormat="1" ht="14" x14ac:dyDescent="0.3">
      <c r="B509" s="3" t="s">
        <v>81</v>
      </c>
      <c r="C509" s="3" t="s">
        <v>83</v>
      </c>
      <c r="D509" s="3" t="s">
        <v>90</v>
      </c>
      <c r="E509" s="2" t="s">
        <v>82</v>
      </c>
      <c r="F509" s="3" t="s">
        <v>106</v>
      </c>
      <c r="G509" s="3" t="s">
        <v>54</v>
      </c>
      <c r="H509" s="32"/>
      <c r="I509" s="4">
        <v>1.881</v>
      </c>
      <c r="J509" s="4">
        <v>0.40300000000000002</v>
      </c>
      <c r="K509" s="32">
        <v>15</v>
      </c>
      <c r="L509" s="32"/>
      <c r="M509" s="4">
        <v>1.149</v>
      </c>
      <c r="N509" s="4">
        <v>0.19800000000000001</v>
      </c>
      <c r="O509" s="32">
        <v>15</v>
      </c>
      <c r="P509" s="3"/>
      <c r="Q509" s="26" t="s">
        <v>77</v>
      </c>
      <c r="R509" s="3" t="s">
        <v>109</v>
      </c>
      <c r="S509" s="3" t="s">
        <v>108</v>
      </c>
      <c r="T509" s="3"/>
      <c r="U509" s="3" t="s">
        <v>13</v>
      </c>
      <c r="V509" s="10" t="s">
        <v>107</v>
      </c>
      <c r="W509" s="3"/>
    </row>
    <row r="510" spans="1:23" s="2" customFormat="1" ht="14" x14ac:dyDescent="0.3">
      <c r="B510" s="3" t="s">
        <v>81</v>
      </c>
      <c r="C510" s="3" t="s">
        <v>83</v>
      </c>
      <c r="D510" s="3" t="s">
        <v>90</v>
      </c>
      <c r="E510" s="2" t="s">
        <v>82</v>
      </c>
      <c r="F510" s="3" t="s">
        <v>106</v>
      </c>
      <c r="G510" s="3" t="s">
        <v>105</v>
      </c>
      <c r="H510" s="32" t="s">
        <v>104</v>
      </c>
      <c r="I510" s="4">
        <v>2.2330000000000001</v>
      </c>
      <c r="J510" s="4">
        <v>0.30599999999999999</v>
      </c>
      <c r="K510" s="32">
        <v>9</v>
      </c>
      <c r="L510" s="32"/>
      <c r="M510" s="4">
        <v>1.0289999999999999</v>
      </c>
      <c r="N510" s="4">
        <v>0.114</v>
      </c>
      <c r="O510" s="32">
        <v>9</v>
      </c>
      <c r="P510" s="3" t="s">
        <v>74</v>
      </c>
      <c r="Q510" s="26" t="s">
        <v>103</v>
      </c>
      <c r="R510" s="3" t="s">
        <v>102</v>
      </c>
      <c r="S510" s="3" t="s">
        <v>101</v>
      </c>
      <c r="T510" s="3" t="s">
        <v>100</v>
      </c>
      <c r="U510" s="3" t="s">
        <v>13</v>
      </c>
      <c r="V510" s="10" t="s">
        <v>99</v>
      </c>
      <c r="W510" s="3"/>
    </row>
    <row r="511" spans="1:23" s="2" customFormat="1" ht="14" x14ac:dyDescent="0.3">
      <c r="B511" s="3" t="s">
        <v>81</v>
      </c>
      <c r="C511" s="3" t="s">
        <v>83</v>
      </c>
      <c r="D511" s="3" t="s">
        <v>90</v>
      </c>
      <c r="E511" s="3" t="s">
        <v>82</v>
      </c>
      <c r="F511" s="3" t="s">
        <v>96</v>
      </c>
      <c r="G511" s="3" t="s">
        <v>1184</v>
      </c>
      <c r="H511" s="32"/>
      <c r="I511" s="4">
        <f>AVERAGE(1.18,1.11,1.27,1.41,1.45)</f>
        <v>1.284</v>
      </c>
      <c r="J511" s="4">
        <f>STDEV(1.18,1.11,1.27,1.41,1.45)</f>
        <v>0.14553350129781031</v>
      </c>
      <c r="K511" s="32">
        <v>5</v>
      </c>
      <c r="L511" s="32"/>
      <c r="M511" s="4"/>
      <c r="N511" s="4"/>
      <c r="O511" s="32"/>
      <c r="P511" s="3" t="s">
        <v>95</v>
      </c>
      <c r="Q511" s="28" t="s">
        <v>94</v>
      </c>
      <c r="R511" s="3" t="s">
        <v>93</v>
      </c>
      <c r="S511" s="3" t="s">
        <v>98</v>
      </c>
      <c r="T511" s="3" t="s">
        <v>97</v>
      </c>
      <c r="U511" s="3" t="s">
        <v>92</v>
      </c>
      <c r="V511" s="10" t="s">
        <v>91</v>
      </c>
      <c r="W511" s="3"/>
    </row>
    <row r="512" spans="1:23" s="2" customFormat="1" ht="14" x14ac:dyDescent="0.3">
      <c r="B512" s="3" t="s">
        <v>81</v>
      </c>
      <c r="C512" s="3" t="s">
        <v>83</v>
      </c>
      <c r="D512" s="3" t="s">
        <v>90</v>
      </c>
      <c r="E512" s="3" t="s">
        <v>82</v>
      </c>
      <c r="F512" s="3" t="s">
        <v>59</v>
      </c>
      <c r="G512" s="3"/>
      <c r="H512" s="32" t="s">
        <v>89</v>
      </c>
      <c r="I512" s="4">
        <v>1.05</v>
      </c>
      <c r="J512" s="4"/>
      <c r="K512" s="32"/>
      <c r="L512" s="32"/>
      <c r="M512" s="4">
        <v>1.2</v>
      </c>
      <c r="N512" s="4"/>
      <c r="O512" s="32"/>
      <c r="P512" s="3" t="s">
        <v>88</v>
      </c>
      <c r="Q512" s="26" t="s">
        <v>87</v>
      </c>
      <c r="R512" s="3" t="s">
        <v>86</v>
      </c>
      <c r="S512" s="3"/>
      <c r="T512" s="3"/>
      <c r="U512" s="3" t="s">
        <v>85</v>
      </c>
      <c r="V512" s="10" t="s">
        <v>84</v>
      </c>
      <c r="W512" s="3"/>
    </row>
    <row r="513" spans="1:42" x14ac:dyDescent="0.35">
      <c r="A513" s="2"/>
      <c r="B513" s="2" t="s">
        <v>81</v>
      </c>
      <c r="C513" s="2" t="s">
        <v>83</v>
      </c>
      <c r="D513" s="2" t="s">
        <v>90</v>
      </c>
      <c r="E513" s="2" t="s">
        <v>82</v>
      </c>
      <c r="F513" s="2" t="s">
        <v>1483</v>
      </c>
      <c r="G513" s="2"/>
      <c r="H513" s="34"/>
      <c r="I513" s="5"/>
      <c r="J513" s="5"/>
      <c r="K513" s="34"/>
      <c r="L513" s="34"/>
      <c r="M513" s="5">
        <v>1.07</v>
      </c>
      <c r="N513" s="5">
        <v>0.09</v>
      </c>
      <c r="O513" s="34">
        <v>48</v>
      </c>
      <c r="P513" s="2"/>
      <c r="Q513" s="39"/>
      <c r="R513" s="2" t="s">
        <v>502</v>
      </c>
      <c r="S513" s="2" t="s">
        <v>1734</v>
      </c>
      <c r="T513" s="2"/>
      <c r="U513" s="2" t="s">
        <v>13</v>
      </c>
      <c r="V513" s="44" t="s">
        <v>1735</v>
      </c>
      <c r="W513" s="2"/>
    </row>
    <row r="514" spans="1:42" s="2" customFormat="1" ht="14" x14ac:dyDescent="0.3">
      <c r="B514" s="2" t="s">
        <v>81</v>
      </c>
      <c r="C514" s="2" t="s">
        <v>83</v>
      </c>
      <c r="D514" s="2" t="s">
        <v>90</v>
      </c>
      <c r="E514" s="2" t="s">
        <v>82</v>
      </c>
      <c r="F514" s="2" t="s">
        <v>59</v>
      </c>
      <c r="G514" s="2" t="s">
        <v>1705</v>
      </c>
      <c r="H514" s="34"/>
      <c r="I514" s="5">
        <v>1.56</v>
      </c>
      <c r="J514" s="5">
        <v>0.03</v>
      </c>
      <c r="K514" s="34">
        <v>6</v>
      </c>
      <c r="L514" s="34"/>
      <c r="M514" s="5">
        <v>1.35</v>
      </c>
      <c r="N514" s="5">
        <v>0.02</v>
      </c>
      <c r="O514" s="34">
        <v>6</v>
      </c>
      <c r="P514" s="2" t="s">
        <v>195</v>
      </c>
      <c r="Q514" s="258" t="s">
        <v>569</v>
      </c>
      <c r="R514" s="252" t="s">
        <v>4</v>
      </c>
      <c r="S514" s="251" t="s">
        <v>180</v>
      </c>
      <c r="T514" s="251"/>
      <c r="U514" s="251" t="s">
        <v>1215</v>
      </c>
      <c r="V514" s="254" t="s">
        <v>1703</v>
      </c>
    </row>
    <row r="515" spans="1:42" s="7" customFormat="1" ht="14" x14ac:dyDescent="0.3">
      <c r="A515" s="7" t="s">
        <v>996</v>
      </c>
      <c r="C515" s="7" t="s">
        <v>83</v>
      </c>
      <c r="E515" s="7" t="s">
        <v>82</v>
      </c>
      <c r="H515" s="33"/>
      <c r="I515" s="8">
        <f>AVERAGE(I435:I514)</f>
        <v>1.1671181261934518</v>
      </c>
      <c r="J515" s="8">
        <f>STDEV(I435:I514)/SQRT(COUNT(I435:I514))</f>
        <v>4.4659508455324647E-2</v>
      </c>
      <c r="K515" s="33"/>
      <c r="L515" s="33"/>
      <c r="M515" s="8">
        <f>AVERAGE(M435:M514)</f>
        <v>1.2636470588235298</v>
      </c>
      <c r="N515" s="8">
        <f>STDEV(M435:M514)/SQRT(COUNT(M435:M514))</f>
        <v>2.6094963241795679E-2</v>
      </c>
      <c r="O515" s="33"/>
      <c r="Q515" s="38"/>
      <c r="V515" s="13"/>
    </row>
    <row r="516" spans="1:42" s="2" customFormat="1" ht="14" x14ac:dyDescent="0.3">
      <c r="B516" s="55" t="s">
        <v>46</v>
      </c>
      <c r="C516" s="3" t="s">
        <v>35</v>
      </c>
      <c r="D516" s="3" t="s">
        <v>71</v>
      </c>
      <c r="E516" s="2" t="s">
        <v>1185</v>
      </c>
      <c r="F516" s="3" t="s">
        <v>70</v>
      </c>
      <c r="G516" s="3"/>
      <c r="H516" s="32"/>
      <c r="I516" s="4">
        <v>2.95</v>
      </c>
      <c r="J516" s="4">
        <v>0.05</v>
      </c>
      <c r="K516" s="32">
        <v>2</v>
      </c>
      <c r="L516" s="32"/>
      <c r="M516" s="4"/>
      <c r="N516" s="4"/>
      <c r="O516" s="32"/>
      <c r="P516" s="6" t="s">
        <v>74</v>
      </c>
      <c r="Q516" s="26" t="s">
        <v>87</v>
      </c>
      <c r="R516" s="3" t="s">
        <v>66</v>
      </c>
      <c r="S516" s="3" t="s">
        <v>65</v>
      </c>
      <c r="T516" s="3"/>
      <c r="U516" s="3" t="s">
        <v>37</v>
      </c>
      <c r="V516" s="44" t="s">
        <v>72</v>
      </c>
      <c r="W516" s="3"/>
    </row>
    <row r="517" spans="1:42" s="2" customFormat="1" ht="14" x14ac:dyDescent="0.3">
      <c r="B517" s="55" t="s">
        <v>46</v>
      </c>
      <c r="C517" s="3" t="s">
        <v>35</v>
      </c>
      <c r="D517" s="3" t="s">
        <v>71</v>
      </c>
      <c r="E517" s="2" t="s">
        <v>34</v>
      </c>
      <c r="F517" s="3" t="s">
        <v>70</v>
      </c>
      <c r="G517" s="3"/>
      <c r="H517" s="32"/>
      <c r="I517" s="4">
        <v>2.9</v>
      </c>
      <c r="J517" s="4">
        <v>0.1</v>
      </c>
      <c r="K517" s="32" t="s">
        <v>69</v>
      </c>
      <c r="L517" s="32"/>
      <c r="M517" s="4"/>
      <c r="N517" s="4"/>
      <c r="O517" s="32"/>
      <c r="P517" s="6" t="s">
        <v>68</v>
      </c>
      <c r="Q517" s="26" t="s">
        <v>67</v>
      </c>
      <c r="R517" s="3" t="s">
        <v>66</v>
      </c>
      <c r="S517" s="3" t="s">
        <v>65</v>
      </c>
      <c r="T517" s="3"/>
      <c r="U517" s="3" t="s">
        <v>37</v>
      </c>
      <c r="V517" s="10" t="s">
        <v>64</v>
      </c>
      <c r="W517" s="3"/>
    </row>
    <row r="518" spans="1:42" s="2" customFormat="1" ht="14" x14ac:dyDescent="0.3">
      <c r="B518" s="55" t="s">
        <v>46</v>
      </c>
      <c r="C518" s="3" t="s">
        <v>79</v>
      </c>
      <c r="D518" s="2" t="s">
        <v>60</v>
      </c>
      <c r="E518" s="2" t="s">
        <v>43</v>
      </c>
      <c r="F518" s="3" t="s">
        <v>31</v>
      </c>
      <c r="G518" s="3"/>
      <c r="H518" s="32" t="s">
        <v>78</v>
      </c>
      <c r="I518" s="4">
        <v>0.62</v>
      </c>
      <c r="J518" s="4">
        <v>9.2999999999999999E-2</v>
      </c>
      <c r="K518" s="32">
        <v>10</v>
      </c>
      <c r="L518" s="32"/>
      <c r="M518" s="4"/>
      <c r="N518" s="4"/>
      <c r="O518" s="32"/>
      <c r="P518" s="6" t="s">
        <v>74</v>
      </c>
      <c r="Q518" s="26" t="s">
        <v>77</v>
      </c>
      <c r="R518" s="3" t="s">
        <v>51</v>
      </c>
      <c r="S518" s="3" t="s">
        <v>76</v>
      </c>
      <c r="T518" s="3"/>
      <c r="U518" s="3" t="s">
        <v>48</v>
      </c>
      <c r="V518" s="10" t="s">
        <v>75</v>
      </c>
      <c r="W518" s="3"/>
    </row>
    <row r="519" spans="1:42" s="2" customFormat="1" ht="14" x14ac:dyDescent="0.3">
      <c r="B519" s="55" t="s">
        <v>46</v>
      </c>
      <c r="C519" s="2" t="s">
        <v>35</v>
      </c>
      <c r="D519" s="2" t="s">
        <v>60</v>
      </c>
      <c r="E519" s="2" t="s">
        <v>1185</v>
      </c>
      <c r="F519" s="3" t="s">
        <v>59</v>
      </c>
      <c r="H519" s="34" t="s">
        <v>63</v>
      </c>
      <c r="I519" s="5">
        <v>0.25</v>
      </c>
      <c r="J519" s="5"/>
      <c r="K519" s="34">
        <v>3</v>
      </c>
      <c r="L519" s="34"/>
      <c r="M519" s="5"/>
      <c r="N519" s="5"/>
      <c r="O519" s="34"/>
      <c r="Q519" s="39" t="s">
        <v>40</v>
      </c>
      <c r="R519" s="2" t="s">
        <v>4</v>
      </c>
      <c r="S519" s="2" t="s">
        <v>62</v>
      </c>
      <c r="T519" s="3" t="s">
        <v>61</v>
      </c>
      <c r="U519" s="2" t="s">
        <v>1</v>
      </c>
      <c r="V519" s="44" t="s">
        <v>55</v>
      </c>
    </row>
    <row r="520" spans="1:42" s="2" customFormat="1" ht="14" x14ac:dyDescent="0.3">
      <c r="B520" s="55" t="s">
        <v>46</v>
      </c>
      <c r="C520" s="2" t="s">
        <v>35</v>
      </c>
      <c r="D520" s="2" t="s">
        <v>60</v>
      </c>
      <c r="E520" s="2" t="s">
        <v>34</v>
      </c>
      <c r="F520" s="3" t="s">
        <v>59</v>
      </c>
      <c r="H520" s="34" t="s">
        <v>58</v>
      </c>
      <c r="I520" s="5">
        <v>0.2</v>
      </c>
      <c r="J520" s="5"/>
      <c r="K520" s="34">
        <v>3</v>
      </c>
      <c r="L520" s="34"/>
      <c r="M520" s="5"/>
      <c r="N520" s="5"/>
      <c r="O520" s="34"/>
      <c r="Q520" s="39" t="s">
        <v>40</v>
      </c>
      <c r="R520" s="2" t="s">
        <v>4</v>
      </c>
      <c r="S520" s="2" t="s">
        <v>57</v>
      </c>
      <c r="T520" s="3" t="s">
        <v>56</v>
      </c>
      <c r="U520" s="2" t="s">
        <v>1</v>
      </c>
      <c r="V520" s="44" t="s">
        <v>55</v>
      </c>
    </row>
    <row r="521" spans="1:42" s="2" customFormat="1" ht="14" x14ac:dyDescent="0.3">
      <c r="B521" s="55" t="s">
        <v>46</v>
      </c>
      <c r="C521" s="3" t="s">
        <v>35</v>
      </c>
      <c r="D521" s="3" t="s">
        <v>44</v>
      </c>
      <c r="E521" s="2" t="s">
        <v>43</v>
      </c>
      <c r="F521" s="3" t="s">
        <v>31</v>
      </c>
      <c r="G521" s="3" t="s">
        <v>54</v>
      </c>
      <c r="H521" s="32" t="s">
        <v>53</v>
      </c>
      <c r="I521" s="4">
        <v>1.4100000000000001</v>
      </c>
      <c r="J521" s="4">
        <v>0.185</v>
      </c>
      <c r="K521" s="32">
        <v>21</v>
      </c>
      <c r="L521" s="32"/>
      <c r="M521" s="4"/>
      <c r="N521" s="4"/>
      <c r="O521" s="32"/>
      <c r="P521" s="3" t="s">
        <v>52</v>
      </c>
      <c r="Q521" s="26" t="s">
        <v>40</v>
      </c>
      <c r="R521" s="3" t="s">
        <v>51</v>
      </c>
      <c r="S521" s="3" t="s">
        <v>50</v>
      </c>
      <c r="T521" s="3" t="s">
        <v>49</v>
      </c>
      <c r="U521" s="3" t="s">
        <v>48</v>
      </c>
      <c r="V521" s="10" t="s">
        <v>47</v>
      </c>
      <c r="W521" s="3"/>
    </row>
    <row r="522" spans="1:42" s="2" customFormat="1" ht="14" x14ac:dyDescent="0.3">
      <c r="B522" s="55" t="s">
        <v>46</v>
      </c>
      <c r="C522" s="3" t="s">
        <v>45</v>
      </c>
      <c r="D522" s="3" t="s">
        <v>44</v>
      </c>
      <c r="E522" s="2" t="s">
        <v>43</v>
      </c>
      <c r="F522" s="3" t="s">
        <v>42</v>
      </c>
      <c r="G522" s="3"/>
      <c r="H522" s="32"/>
      <c r="I522" s="4">
        <v>0.57200000000000006</v>
      </c>
      <c r="J522" s="4">
        <v>0.17150510196492688</v>
      </c>
      <c r="K522" s="32">
        <v>10</v>
      </c>
      <c r="L522" s="32"/>
      <c r="M522" s="4"/>
      <c r="N522" s="4"/>
      <c r="O522" s="32"/>
      <c r="P522" s="3" t="s">
        <v>41</v>
      </c>
      <c r="Q522" s="26" t="s">
        <v>40</v>
      </c>
      <c r="R522" s="3" t="s">
        <v>39</v>
      </c>
      <c r="S522" s="3" t="s">
        <v>38</v>
      </c>
      <c r="T522" s="3"/>
      <c r="U522" s="3" t="s">
        <v>37</v>
      </c>
      <c r="V522" s="10" t="s">
        <v>36</v>
      </c>
      <c r="W522" s="3"/>
    </row>
    <row r="523" spans="1:42" s="2" customFormat="1" ht="14" x14ac:dyDescent="0.3">
      <c r="B523" s="55" t="s">
        <v>46</v>
      </c>
      <c r="C523" s="2" t="s">
        <v>35</v>
      </c>
      <c r="D523" s="2" t="s">
        <v>1616</v>
      </c>
      <c r="E523" s="2" t="s">
        <v>338</v>
      </c>
      <c r="F523" s="2" t="s">
        <v>1483</v>
      </c>
      <c r="H523" s="34"/>
      <c r="I523" s="5"/>
      <c r="J523" s="5"/>
      <c r="K523" s="34"/>
      <c r="L523" s="34" t="s">
        <v>1618</v>
      </c>
      <c r="M523" s="5">
        <v>1.5147165209289943</v>
      </c>
      <c r="N523" s="5"/>
      <c r="O523" s="34"/>
      <c r="P523" s="251" t="s">
        <v>1484</v>
      </c>
      <c r="Q523" s="252" t="s">
        <v>87</v>
      </c>
      <c r="R523" s="252" t="s">
        <v>502</v>
      </c>
      <c r="S523" s="251" t="s">
        <v>1485</v>
      </c>
      <c r="T523" s="251" t="s">
        <v>1486</v>
      </c>
      <c r="U523" s="251" t="s">
        <v>13</v>
      </c>
      <c r="V523" s="286" t="s">
        <v>1487</v>
      </c>
      <c r="W523" s="286"/>
      <c r="X523" s="286"/>
      <c r="Y523" s="286"/>
      <c r="Z523" s="286"/>
      <c r="AA523" s="286"/>
      <c r="AB523" s="286"/>
      <c r="AC523" s="286"/>
      <c r="AD523" s="286"/>
      <c r="AE523" s="286"/>
      <c r="AF523" s="286"/>
      <c r="AG523" s="286"/>
      <c r="AH523" s="286"/>
      <c r="AI523" s="286"/>
      <c r="AJ523" s="286"/>
      <c r="AK523" s="286"/>
      <c r="AL523" s="286"/>
      <c r="AM523" s="286"/>
      <c r="AN523" s="286"/>
      <c r="AO523" s="286"/>
      <c r="AP523" s="286"/>
    </row>
    <row r="524" spans="1:42" s="2" customFormat="1" ht="14" x14ac:dyDescent="0.3">
      <c r="B524" s="55" t="s">
        <v>46</v>
      </c>
      <c r="C524" s="2" t="s">
        <v>35</v>
      </c>
      <c r="D524" s="2" t="s">
        <v>1617</v>
      </c>
      <c r="E524" s="2" t="s">
        <v>34</v>
      </c>
      <c r="F524" s="2" t="s">
        <v>1483</v>
      </c>
      <c r="H524" s="34"/>
      <c r="I524" s="5"/>
      <c r="J524" s="5"/>
      <c r="K524" s="34"/>
      <c r="L524" s="34" t="s">
        <v>1619</v>
      </c>
      <c r="M524" s="5">
        <v>1.3887882377030336</v>
      </c>
      <c r="N524" s="5"/>
      <c r="O524" s="34"/>
      <c r="P524" s="251" t="s">
        <v>1484</v>
      </c>
      <c r="Q524" s="252" t="s">
        <v>87</v>
      </c>
      <c r="R524" s="252" t="s">
        <v>502</v>
      </c>
      <c r="S524" s="251" t="s">
        <v>1485</v>
      </c>
      <c r="T524" s="251" t="s">
        <v>1486</v>
      </c>
      <c r="U524" s="251" t="s">
        <v>13</v>
      </c>
      <c r="V524" s="286" t="s">
        <v>1487</v>
      </c>
      <c r="W524" s="286"/>
      <c r="X524" s="286"/>
      <c r="Y524" s="286"/>
      <c r="Z524" s="286"/>
      <c r="AA524" s="286"/>
      <c r="AB524" s="286"/>
      <c r="AC524" s="286"/>
      <c r="AD524" s="286"/>
      <c r="AE524" s="286"/>
      <c r="AF524" s="286"/>
      <c r="AG524" s="286"/>
      <c r="AH524" s="286"/>
      <c r="AI524" s="286"/>
      <c r="AJ524" s="286"/>
      <c r="AK524" s="286"/>
      <c r="AL524" s="286"/>
      <c r="AM524" s="286"/>
      <c r="AN524" s="286"/>
      <c r="AO524" s="286"/>
      <c r="AP524" s="286"/>
    </row>
    <row r="525" spans="1:42" s="7" customFormat="1" ht="14" x14ac:dyDescent="0.3">
      <c r="A525" s="7" t="s">
        <v>1186</v>
      </c>
      <c r="B525" s="9"/>
      <c r="C525" s="7" t="s">
        <v>35</v>
      </c>
      <c r="E525" s="7" t="s">
        <v>1185</v>
      </c>
      <c r="H525" s="33"/>
      <c r="I525" s="8">
        <f>AVERAGE(I516:I524)</f>
        <v>1.2717142857142858</v>
      </c>
      <c r="J525" s="8">
        <f>STDEV(I516:I524)/SQRT(COUNT(I516:I524))</f>
        <v>0.45234530185339988</v>
      </c>
      <c r="K525" s="33"/>
      <c r="L525" s="33"/>
      <c r="M525" s="8">
        <f>AVERAGE(M516:M524)</f>
        <v>1.4517523793160141</v>
      </c>
      <c r="N525" s="8">
        <f>STDEV(M516:M524)/SQRT(COUNT(M516:M524))</f>
        <v>6.2964141612980348E-2</v>
      </c>
      <c r="O525" s="33"/>
      <c r="Q525" s="38"/>
      <c r="V525" s="13"/>
    </row>
    <row r="526" spans="1:42" x14ac:dyDescent="0.35">
      <c r="A526" s="2"/>
      <c r="B526" s="3" t="s">
        <v>377</v>
      </c>
      <c r="C526" s="3" t="s">
        <v>392</v>
      </c>
      <c r="D526" s="3" t="s">
        <v>394</v>
      </c>
      <c r="E526" s="3" t="s">
        <v>359</v>
      </c>
      <c r="F526" s="2" t="s">
        <v>397</v>
      </c>
      <c r="G526" s="2" t="s">
        <v>1036</v>
      </c>
      <c r="H526" s="34"/>
      <c r="I526" s="5">
        <f>2.21/2</f>
        <v>1.105</v>
      </c>
      <c r="J526" s="5">
        <f>2.85/2</f>
        <v>1.425</v>
      </c>
      <c r="K526" s="34">
        <v>21</v>
      </c>
      <c r="L526" s="34"/>
      <c r="M526" s="5"/>
      <c r="N526" s="5"/>
      <c r="O526" s="34"/>
      <c r="P526" s="2" t="s">
        <v>88</v>
      </c>
      <c r="Q526" s="39" t="s">
        <v>77</v>
      </c>
      <c r="R526" s="2" t="s">
        <v>66</v>
      </c>
      <c r="S526" s="2" t="s">
        <v>396</v>
      </c>
      <c r="T526" s="2"/>
      <c r="U526" s="2" t="s">
        <v>37</v>
      </c>
      <c r="V526" s="44" t="s">
        <v>395</v>
      </c>
    </row>
    <row r="527" spans="1:42" x14ac:dyDescent="0.35">
      <c r="A527" s="2"/>
      <c r="B527" s="3" t="s">
        <v>377</v>
      </c>
      <c r="C527" s="3" t="s">
        <v>392</v>
      </c>
      <c r="D527" s="3" t="s">
        <v>394</v>
      </c>
      <c r="E527" s="3" t="s">
        <v>359</v>
      </c>
      <c r="F527" s="3" t="s">
        <v>31</v>
      </c>
      <c r="G527" s="3" t="s">
        <v>54</v>
      </c>
      <c r="I527" s="4">
        <v>1.67</v>
      </c>
      <c r="K527" s="32">
        <v>1</v>
      </c>
      <c r="P527" s="27" t="s">
        <v>40</v>
      </c>
      <c r="Q527" s="26" t="s">
        <v>40</v>
      </c>
      <c r="R527" s="3" t="s">
        <v>4</v>
      </c>
      <c r="S527" s="3" t="s">
        <v>354</v>
      </c>
      <c r="T527" s="3" t="s">
        <v>345</v>
      </c>
      <c r="U527" s="3" t="s">
        <v>1</v>
      </c>
      <c r="V527" s="10" t="s">
        <v>352</v>
      </c>
    </row>
    <row r="528" spans="1:42" x14ac:dyDescent="0.35">
      <c r="A528" s="2"/>
      <c r="B528" s="3" t="s">
        <v>377</v>
      </c>
      <c r="C528" s="3" t="s">
        <v>392</v>
      </c>
      <c r="D528" s="3" t="s">
        <v>394</v>
      </c>
      <c r="E528" s="3" t="s">
        <v>359</v>
      </c>
      <c r="F528" s="3" t="s">
        <v>31</v>
      </c>
      <c r="H528" s="32" t="s">
        <v>393</v>
      </c>
      <c r="I528" s="4">
        <v>1.96</v>
      </c>
      <c r="J528" s="4">
        <v>7.0000000000000007E-2</v>
      </c>
      <c r="K528" s="32">
        <v>10</v>
      </c>
      <c r="P528" s="27" t="s">
        <v>40</v>
      </c>
      <c r="Q528" s="26" t="s">
        <v>40</v>
      </c>
      <c r="R528" s="3" t="s">
        <v>4</v>
      </c>
      <c r="S528" s="3" t="s">
        <v>346</v>
      </c>
      <c r="T528" s="3" t="s">
        <v>345</v>
      </c>
      <c r="U528" s="3" t="s">
        <v>1</v>
      </c>
      <c r="V528" s="10" t="s">
        <v>344</v>
      </c>
    </row>
    <row r="529" spans="1:64" s="12" customFormat="1" x14ac:dyDescent="0.35">
      <c r="A529" s="7" t="s">
        <v>1007</v>
      </c>
      <c r="B529" s="7"/>
      <c r="C529" s="7" t="s">
        <v>392</v>
      </c>
      <c r="D529" s="7"/>
      <c r="E529" s="7" t="s">
        <v>359</v>
      </c>
      <c r="F529" s="7"/>
      <c r="G529" s="7"/>
      <c r="H529" s="33"/>
      <c r="I529" s="8">
        <f>AVERAGE(I526:I528)</f>
        <v>1.5783333333333331</v>
      </c>
      <c r="J529" s="8">
        <f>STDEV(I526:I528)/SQRT(COUNT(I526:I528))</f>
        <v>0.25103673923241726</v>
      </c>
      <c r="K529" s="33"/>
      <c r="L529" s="33"/>
      <c r="M529" s="8"/>
      <c r="N529" s="8"/>
      <c r="O529" s="33"/>
      <c r="P529" s="14"/>
      <c r="Q529" s="38"/>
      <c r="R529" s="7"/>
      <c r="S529" s="7"/>
      <c r="T529" s="7"/>
      <c r="U529" s="7"/>
      <c r="V529" s="13"/>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row>
    <row r="530" spans="1:64" x14ac:dyDescent="0.35">
      <c r="A530" s="2"/>
      <c r="B530" s="2" t="s">
        <v>377</v>
      </c>
      <c r="C530" s="2" t="s">
        <v>378</v>
      </c>
      <c r="D530" s="2" t="s">
        <v>379</v>
      </c>
      <c r="E530" s="3" t="s">
        <v>359</v>
      </c>
      <c r="F530" s="3" t="s">
        <v>31</v>
      </c>
      <c r="G530" s="2" t="s">
        <v>391</v>
      </c>
      <c r="H530" s="34"/>
      <c r="I530" s="5">
        <v>2.4609999999999999</v>
      </c>
      <c r="J530" s="5">
        <f>0.022*3</f>
        <v>6.6000000000000003E-2</v>
      </c>
      <c r="K530" s="34"/>
      <c r="L530" s="34"/>
      <c r="M530" s="5"/>
      <c r="N530" s="5"/>
      <c r="O530" s="34"/>
      <c r="P530" s="2" t="s">
        <v>74</v>
      </c>
      <c r="Q530" s="39" t="s">
        <v>390</v>
      </c>
      <c r="R530" s="2" t="s">
        <v>251</v>
      </c>
      <c r="S530" s="2" t="s">
        <v>389</v>
      </c>
      <c r="T530" s="2"/>
      <c r="U530" s="2" t="s">
        <v>126</v>
      </c>
      <c r="V530" s="10" t="s">
        <v>388</v>
      </c>
    </row>
    <row r="531" spans="1:64" x14ac:dyDescent="0.35">
      <c r="A531" s="2"/>
      <c r="B531" s="2" t="s">
        <v>377</v>
      </c>
      <c r="C531" s="2" t="s">
        <v>378</v>
      </c>
      <c r="D531" s="2" t="s">
        <v>379</v>
      </c>
      <c r="E531" s="3" t="s">
        <v>359</v>
      </c>
      <c r="F531" s="3" t="s">
        <v>387</v>
      </c>
      <c r="G531" s="3" t="s">
        <v>1153</v>
      </c>
      <c r="I531" s="4">
        <f>AVERAGE(0.924,0.748)</f>
        <v>0.83600000000000008</v>
      </c>
      <c r="J531" s="4">
        <f>STDEV(0.924,0.748)</f>
        <v>0.12445079348883215</v>
      </c>
      <c r="K531" s="32">
        <v>8</v>
      </c>
      <c r="P531" s="3" t="s">
        <v>74</v>
      </c>
      <c r="Q531" s="26" t="s">
        <v>245</v>
      </c>
      <c r="R531" s="3" t="s">
        <v>382</v>
      </c>
      <c r="S531" s="3" t="s">
        <v>386</v>
      </c>
      <c r="T531" s="3" t="s">
        <v>385</v>
      </c>
      <c r="U531" s="3" t="s">
        <v>126</v>
      </c>
      <c r="V531" s="10" t="s">
        <v>384</v>
      </c>
    </row>
    <row r="532" spans="1:64" x14ac:dyDescent="0.35">
      <c r="A532" s="2"/>
      <c r="B532" s="2" t="s">
        <v>377</v>
      </c>
      <c r="C532" s="2" t="s">
        <v>378</v>
      </c>
      <c r="D532" s="2" t="s">
        <v>379</v>
      </c>
      <c r="E532" s="3" t="s">
        <v>359</v>
      </c>
      <c r="F532" s="3" t="s">
        <v>19</v>
      </c>
      <c r="G532" s="2" t="s">
        <v>1039</v>
      </c>
      <c r="H532" s="34"/>
      <c r="I532" s="5">
        <f>0.85*3</f>
        <v>2.5499999999999998</v>
      </c>
      <c r="J532" s="5">
        <f>0.022*3</f>
        <v>6.6000000000000003E-2</v>
      </c>
      <c r="K532" s="34">
        <v>15</v>
      </c>
      <c r="L532" s="34"/>
      <c r="M532" s="5"/>
      <c r="N532" s="5"/>
      <c r="O532" s="34"/>
      <c r="P532" s="2" t="s">
        <v>52</v>
      </c>
      <c r="Q532" s="39" t="s">
        <v>383</v>
      </c>
      <c r="R532" s="3" t="s">
        <v>382</v>
      </c>
      <c r="S532" s="3" t="s">
        <v>381</v>
      </c>
      <c r="T532" s="3" t="s">
        <v>52</v>
      </c>
      <c r="U532" s="3" t="s">
        <v>126</v>
      </c>
      <c r="V532" s="10" t="s">
        <v>380</v>
      </c>
      <c r="W532" s="2"/>
    </row>
    <row r="533" spans="1:64" x14ac:dyDescent="0.35">
      <c r="A533" s="2"/>
      <c r="B533" s="2" t="s">
        <v>377</v>
      </c>
      <c r="C533" s="2" t="s">
        <v>378</v>
      </c>
      <c r="D533" s="2" t="s">
        <v>379</v>
      </c>
      <c r="E533" s="3" t="s">
        <v>359</v>
      </c>
      <c r="F533" s="3" t="s">
        <v>31</v>
      </c>
      <c r="I533" s="4">
        <v>1.62</v>
      </c>
      <c r="J533" s="4">
        <v>0.05</v>
      </c>
      <c r="K533" s="32">
        <v>10</v>
      </c>
      <c r="P533" s="27" t="s">
        <v>40</v>
      </c>
      <c r="Q533" s="26" t="s">
        <v>40</v>
      </c>
      <c r="R533" s="3" t="s">
        <v>4</v>
      </c>
      <c r="S533" s="3" t="s">
        <v>346</v>
      </c>
      <c r="T533" s="3" t="s">
        <v>345</v>
      </c>
      <c r="U533" s="3" t="s">
        <v>1</v>
      </c>
      <c r="V533" s="10" t="s">
        <v>344</v>
      </c>
    </row>
    <row r="534" spans="1:64" x14ac:dyDescent="0.35">
      <c r="A534" s="2"/>
      <c r="B534" s="2" t="s">
        <v>377</v>
      </c>
      <c r="C534" s="2" t="s">
        <v>378</v>
      </c>
      <c r="D534" s="2" t="s">
        <v>379</v>
      </c>
      <c r="E534" s="2" t="s">
        <v>359</v>
      </c>
      <c r="F534" s="2" t="s">
        <v>1763</v>
      </c>
      <c r="G534" s="2" t="s">
        <v>1024</v>
      </c>
      <c r="H534" s="34"/>
      <c r="I534" s="5">
        <v>1.1636500000000001</v>
      </c>
      <c r="J534" s="5">
        <v>0.21232984952662687</v>
      </c>
      <c r="K534" s="34">
        <v>1</v>
      </c>
      <c r="L534" s="34"/>
      <c r="M534" s="5"/>
      <c r="N534" s="5"/>
      <c r="O534" s="34"/>
      <c r="P534" s="2" t="s">
        <v>798</v>
      </c>
      <c r="Q534" s="42" t="s">
        <v>1139</v>
      </c>
      <c r="R534" s="2" t="s">
        <v>1765</v>
      </c>
      <c r="S534" s="2" t="s">
        <v>1766</v>
      </c>
      <c r="T534" s="2"/>
      <c r="U534" s="2" t="s">
        <v>24</v>
      </c>
      <c r="V534" s="44" t="s">
        <v>1790</v>
      </c>
      <c r="W534" s="2"/>
    </row>
    <row r="535" spans="1:64" s="12" customFormat="1" x14ac:dyDescent="0.35">
      <c r="A535" s="7" t="s">
        <v>1015</v>
      </c>
      <c r="B535" s="7"/>
      <c r="C535" s="7" t="s">
        <v>378</v>
      </c>
      <c r="D535" s="7"/>
      <c r="E535" s="7" t="s">
        <v>359</v>
      </c>
      <c r="F535" s="7"/>
      <c r="G535" s="7"/>
      <c r="H535" s="33"/>
      <c r="I535" s="8">
        <f>AVERAGE(I530:I534)</f>
        <v>1.7261299999999999</v>
      </c>
      <c r="J535" s="8">
        <f>STDEV(I530:I534)/SQRT(COUNT(I530:I534))</f>
        <v>0.34196304171649922</v>
      </c>
      <c r="K535" s="33"/>
      <c r="L535" s="33"/>
      <c r="M535" s="8"/>
      <c r="N535" s="8"/>
      <c r="O535" s="33"/>
      <c r="P535" s="14"/>
      <c r="Q535" s="38"/>
      <c r="R535" s="7"/>
      <c r="S535" s="7"/>
      <c r="T535" s="7"/>
      <c r="U535" s="7"/>
      <c r="V535" s="13"/>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row>
    <row r="536" spans="1:64" s="2" customFormat="1" ht="14" x14ac:dyDescent="0.3">
      <c r="B536" s="3" t="s">
        <v>607</v>
      </c>
      <c r="C536" s="3" t="s">
        <v>601</v>
      </c>
      <c r="D536" s="3" t="s">
        <v>90</v>
      </c>
      <c r="E536" s="3" t="s">
        <v>1187</v>
      </c>
      <c r="F536" s="3" t="s">
        <v>122</v>
      </c>
      <c r="G536" s="3" t="s">
        <v>516</v>
      </c>
      <c r="H536" s="32"/>
      <c r="I536" s="4">
        <v>3.5</v>
      </c>
      <c r="J536" s="4">
        <v>0</v>
      </c>
      <c r="K536" s="32">
        <v>1</v>
      </c>
      <c r="L536" s="32"/>
      <c r="M536" s="4">
        <v>1.37</v>
      </c>
      <c r="N536" s="4">
        <v>0.25</v>
      </c>
      <c r="O536" s="32"/>
      <c r="P536" s="3" t="s">
        <v>120</v>
      </c>
      <c r="Q536" s="26" t="s">
        <v>119</v>
      </c>
      <c r="R536" s="3" t="s">
        <v>15</v>
      </c>
      <c r="S536" s="3" t="s">
        <v>118</v>
      </c>
      <c r="T536" s="3"/>
      <c r="U536" s="3" t="s">
        <v>13</v>
      </c>
      <c r="V536" s="10" t="s">
        <v>117</v>
      </c>
      <c r="W536" s="3"/>
    </row>
    <row r="537" spans="1:64" s="2" customFormat="1" ht="14" x14ac:dyDescent="0.3">
      <c r="B537" s="3" t="s">
        <v>607</v>
      </c>
      <c r="C537" s="3" t="s">
        <v>601</v>
      </c>
      <c r="D537" s="3" t="s">
        <v>608</v>
      </c>
      <c r="E537" s="3" t="s">
        <v>644</v>
      </c>
      <c r="F537" s="3" t="s">
        <v>31</v>
      </c>
      <c r="G537" s="3" t="s">
        <v>54</v>
      </c>
      <c r="H537" s="32"/>
      <c r="I537" s="4">
        <v>1.4</v>
      </c>
      <c r="J537" s="4">
        <v>0.45800000000000002</v>
      </c>
      <c r="K537" s="32">
        <v>3</v>
      </c>
      <c r="L537" s="32"/>
      <c r="M537" s="4"/>
      <c r="N537" s="4"/>
      <c r="O537" s="32"/>
      <c r="P537" s="3" t="s">
        <v>347</v>
      </c>
      <c r="Q537" s="26" t="s">
        <v>40</v>
      </c>
      <c r="R537" s="3" t="s">
        <v>4</v>
      </c>
      <c r="S537" s="3" t="s">
        <v>435</v>
      </c>
      <c r="T537" s="3" t="s">
        <v>353</v>
      </c>
      <c r="U537" s="3" t="s">
        <v>1</v>
      </c>
      <c r="V537" s="10" t="s">
        <v>352</v>
      </c>
      <c r="W537" s="3"/>
    </row>
    <row r="538" spans="1:64" s="2" customFormat="1" ht="14" x14ac:dyDescent="0.3">
      <c r="B538" s="3" t="s">
        <v>607</v>
      </c>
      <c r="C538" s="3" t="s">
        <v>601</v>
      </c>
      <c r="D538" s="3" t="s">
        <v>606</v>
      </c>
      <c r="E538" s="3" t="s">
        <v>644</v>
      </c>
      <c r="F538" s="3" t="s">
        <v>329</v>
      </c>
      <c r="G538" s="3"/>
      <c r="H538" s="32"/>
      <c r="I538" s="4">
        <v>1.05</v>
      </c>
      <c r="J538" s="4">
        <v>0.2</v>
      </c>
      <c r="K538" s="32">
        <v>10</v>
      </c>
      <c r="L538" s="32" t="s">
        <v>605</v>
      </c>
      <c r="M538" s="4">
        <v>1.3</v>
      </c>
      <c r="N538" s="4">
        <v>0.05</v>
      </c>
      <c r="O538" s="32">
        <v>10</v>
      </c>
      <c r="P538" s="3" t="s">
        <v>604</v>
      </c>
      <c r="Q538" s="26" t="s">
        <v>225</v>
      </c>
      <c r="R538" s="3" t="s">
        <v>4</v>
      </c>
      <c r="S538" s="3" t="s">
        <v>603</v>
      </c>
      <c r="T538" s="3" t="s">
        <v>100</v>
      </c>
      <c r="U538" s="3" t="s">
        <v>1215</v>
      </c>
      <c r="V538" s="29" t="s">
        <v>602</v>
      </c>
      <c r="W538" s="3"/>
    </row>
    <row r="539" spans="1:64" s="2" customFormat="1" ht="14" x14ac:dyDescent="0.3">
      <c r="B539" s="177" t="s">
        <v>607</v>
      </c>
      <c r="C539" s="177" t="s">
        <v>601</v>
      </c>
      <c r="D539" s="177" t="s">
        <v>606</v>
      </c>
      <c r="E539" s="177" t="s">
        <v>644</v>
      </c>
      <c r="F539" s="3" t="s">
        <v>1483</v>
      </c>
      <c r="G539" s="3"/>
      <c r="H539" s="32"/>
      <c r="I539" s="4"/>
      <c r="J539" s="4"/>
      <c r="K539" s="32"/>
      <c r="L539" s="32" t="s">
        <v>1620</v>
      </c>
      <c r="M539" s="4">
        <v>1.1299999999999999</v>
      </c>
      <c r="N539" s="4"/>
      <c r="O539" s="32"/>
      <c r="P539" s="168" t="s">
        <v>1484</v>
      </c>
      <c r="Q539" s="170" t="s">
        <v>87</v>
      </c>
      <c r="R539" s="170" t="s">
        <v>502</v>
      </c>
      <c r="S539" s="168" t="s">
        <v>1485</v>
      </c>
      <c r="T539" s="168" t="s">
        <v>1486</v>
      </c>
      <c r="U539" s="168" t="s">
        <v>13</v>
      </c>
      <c r="V539" s="286" t="s">
        <v>1487</v>
      </c>
      <c r="W539" s="286"/>
      <c r="X539" s="286"/>
      <c r="Y539" s="286"/>
      <c r="Z539" s="286"/>
      <c r="AA539" s="286"/>
      <c r="AB539" s="286"/>
      <c r="AC539" s="286"/>
      <c r="AD539" s="286"/>
      <c r="AE539" s="286"/>
      <c r="AF539" s="286"/>
      <c r="AG539" s="286"/>
      <c r="AH539" s="286"/>
      <c r="AI539" s="286"/>
      <c r="AJ539" s="286"/>
      <c r="AK539" s="286"/>
      <c r="AL539" s="286"/>
      <c r="AM539" s="286"/>
      <c r="AN539" s="286"/>
      <c r="AO539" s="286"/>
      <c r="AP539" s="286"/>
    </row>
    <row r="540" spans="1:64" x14ac:dyDescent="0.35">
      <c r="A540" s="2"/>
      <c r="B540" s="2" t="s">
        <v>607</v>
      </c>
      <c r="C540" s="2" t="s">
        <v>601</v>
      </c>
      <c r="D540" s="2" t="s">
        <v>1743</v>
      </c>
      <c r="E540" s="2" t="s">
        <v>644</v>
      </c>
      <c r="F540" s="2" t="s">
        <v>1483</v>
      </c>
      <c r="G540" s="2"/>
      <c r="H540" s="34"/>
      <c r="I540" s="5"/>
      <c r="J540" s="5"/>
      <c r="K540" s="34"/>
      <c r="L540" s="34"/>
      <c r="M540" s="5">
        <v>1.27</v>
      </c>
      <c r="N540" s="5">
        <v>0.14000000000000001</v>
      </c>
      <c r="O540" s="34">
        <v>24</v>
      </c>
      <c r="P540" s="2"/>
      <c r="Q540" s="39"/>
      <c r="R540" s="2" t="s">
        <v>502</v>
      </c>
      <c r="S540" s="2" t="s">
        <v>1734</v>
      </c>
      <c r="T540" s="2"/>
      <c r="U540" s="2" t="s">
        <v>13</v>
      </c>
      <c r="V540" s="44" t="s">
        <v>1735</v>
      </c>
      <c r="W540" s="2"/>
    </row>
    <row r="541" spans="1:64" s="15" customFormat="1" ht="14" x14ac:dyDescent="0.3">
      <c r="A541" s="7" t="s">
        <v>1148</v>
      </c>
      <c r="C541" s="15" t="s">
        <v>601</v>
      </c>
      <c r="E541" s="15" t="s">
        <v>1187</v>
      </c>
      <c r="H541" s="35"/>
      <c r="I541" s="16">
        <f>AVERAGE(I536:I540)</f>
        <v>1.9833333333333334</v>
      </c>
      <c r="J541" s="16">
        <f>STDEV(I536:I540)/SQRT(COUNT(I536:I540))</f>
        <v>0.76503449450189986</v>
      </c>
      <c r="K541" s="35"/>
      <c r="L541" s="35"/>
      <c r="M541" s="16">
        <f>AVERAGE(M536:M540)</f>
        <v>1.2675000000000001</v>
      </c>
      <c r="N541" s="16">
        <f>STDEV(M536:M540)/SQRT(COUNT(M536:M540))</f>
        <v>5.0394278775802888E-2</v>
      </c>
      <c r="O541" s="35"/>
      <c r="Q541" s="41"/>
      <c r="V541" s="45"/>
    </row>
    <row r="542" spans="1:64" s="2" customFormat="1" ht="14" x14ac:dyDescent="0.3">
      <c r="B542" s="3"/>
      <c r="C542" s="3"/>
      <c r="D542" s="3"/>
      <c r="E542" s="3"/>
      <c r="F542" s="3"/>
      <c r="G542" s="3"/>
      <c r="H542" s="32"/>
      <c r="I542" s="4" t="s">
        <v>1461</v>
      </c>
      <c r="J542" s="4" t="s">
        <v>1279</v>
      </c>
      <c r="K542" s="32"/>
      <c r="L542" s="32"/>
      <c r="M542" s="4" t="s">
        <v>1461</v>
      </c>
      <c r="N542" s="4" t="s">
        <v>1279</v>
      </c>
      <c r="O542" s="32"/>
      <c r="P542" s="3"/>
      <c r="Q542" s="3"/>
      <c r="R542" s="3"/>
      <c r="S542" s="3"/>
      <c r="T542" s="3"/>
      <c r="U542" s="3"/>
      <c r="V542" s="10"/>
      <c r="W542" s="3"/>
    </row>
    <row r="543" spans="1:64" s="2" customFormat="1" ht="14" x14ac:dyDescent="0.3">
      <c r="A543" s="57" t="s">
        <v>847</v>
      </c>
      <c r="B543" s="3"/>
      <c r="C543" s="3"/>
      <c r="D543" s="3"/>
      <c r="E543" s="57" t="s">
        <v>359</v>
      </c>
      <c r="F543" s="3"/>
      <c r="G543" s="3"/>
      <c r="H543" s="32"/>
      <c r="I543" s="97">
        <f>AVERAGE(I39,I210,I68,I65,I56,I225,I220,I256,I260,I405,I428,I529,I535)</f>
        <v>2.3319323773539402</v>
      </c>
      <c r="J543" s="97">
        <f>STDEV(I39,I210,I68,I65,I56,I225,I220,I256,I260,I405,I428,I529,I535)/SQRT(COUNT(I39,I210,I68,I65,I56,I225,I220,I256,I260,I405,I428,I529,I535))</f>
        <v>0.30583820794415589</v>
      </c>
      <c r="K543" s="32" t="s">
        <v>1750</v>
      </c>
      <c r="L543" s="32"/>
      <c r="M543" s="97">
        <f>AVERAGE(M39,M210,M68,M65,M56,M225,M220,M256,M260,M405,M428,M529,M535)</f>
        <v>1.4323073593073592</v>
      </c>
      <c r="N543" s="97">
        <f>STDEV(M39,M210,M68,M65,M56,M225,M220,M256,M260,M405,M428,M529,M535)/SQRT(COUNT(M39,M210,M68,M65,M56,M225,M220,M256,M260,M405,M428,M529,M535))</f>
        <v>7.1216154966743495E-2</v>
      </c>
      <c r="O543" s="32"/>
      <c r="P543" s="3"/>
      <c r="Q543" s="3"/>
      <c r="R543" s="3"/>
      <c r="S543" s="3"/>
      <c r="T543" s="3"/>
      <c r="U543" s="3"/>
      <c r="V543" s="10"/>
      <c r="W543" s="3"/>
    </row>
    <row r="544" spans="1:64" s="2" customFormat="1" ht="14" x14ac:dyDescent="0.3">
      <c r="A544" s="57" t="s">
        <v>849</v>
      </c>
      <c r="B544" s="3"/>
      <c r="C544" s="3"/>
      <c r="D544" s="3"/>
      <c r="E544" s="57" t="s">
        <v>338</v>
      </c>
      <c r="F544" s="3"/>
      <c r="G544" s="3"/>
      <c r="H544" s="32"/>
      <c r="I544" s="97">
        <f>AVERAGE(I183,I206,I301,I434)</f>
        <v>1.1068666666666667</v>
      </c>
      <c r="J544" s="97">
        <f>STDEV(I183,I206,I301,I434)/SQRT(COUNT(I183,I206,I301,I434))</f>
        <v>5.9339288090700194E-2</v>
      </c>
      <c r="K544" s="32"/>
      <c r="L544" s="32"/>
      <c r="M544" s="97">
        <f>M547</f>
        <v>1.2004636652361285</v>
      </c>
      <c r="N544" s="97">
        <f>N547</f>
        <v>4.5652349883628228E-2</v>
      </c>
      <c r="O544" s="27" t="s">
        <v>1751</v>
      </c>
      <c r="P544" s="3"/>
      <c r="Q544" s="3"/>
      <c r="R544" s="3"/>
      <c r="S544" s="3"/>
      <c r="T544" s="3"/>
      <c r="U544" s="3"/>
      <c r="V544" s="10"/>
      <c r="W544" s="3"/>
    </row>
    <row r="545" spans="1:23" s="2" customFormat="1" ht="14" x14ac:dyDescent="0.3">
      <c r="A545" s="57" t="s">
        <v>850</v>
      </c>
      <c r="B545" s="3"/>
      <c r="C545" s="3"/>
      <c r="D545" s="3"/>
      <c r="E545" s="57" t="s">
        <v>20</v>
      </c>
      <c r="F545" s="3"/>
      <c r="G545" s="3"/>
      <c r="H545" s="32"/>
      <c r="I545" s="97">
        <f>AVERAGE(I91,I110,I158,I208,I218,I232,I247,I272,I228,I286,I287,I293,I296,I307,I525)</f>
        <v>1.2406808404987837</v>
      </c>
      <c r="J545" s="97">
        <f>STDEV(I91,I110,I158,I208,I218,I232,I247,I272,I228,I286,I287,I293,I296,I307,I525)/SQRT(COUNT(I91,I110,I158,I208,I218,I232,I247,I272,I228,I286,I287,I293,I296,I307,I525))</f>
        <v>0.11916683148710051</v>
      </c>
      <c r="K545" s="32"/>
      <c r="L545" s="32"/>
      <c r="M545" s="97">
        <f>AVERAGE(M91,M110,M158,M208,M218,M232,M247,M272,M228,M286,M287,M293,M296,M307,M525)</f>
        <v>1.4628419045982679</v>
      </c>
      <c r="N545" s="97">
        <f>STDEV(M91,M110,M158,M208,M218,M232,M247,M272,M228,M286,M287,M293,M296,M307,M525)/SQRT(COUNT(M91,M110,M158,M208,M218,M232,M247,M272,M228,M286,M287,M293,M296,M307,M525))</f>
        <v>8.5690984668249107E-2</v>
      </c>
      <c r="O545" s="32"/>
      <c r="P545" s="3"/>
      <c r="Q545" s="3"/>
      <c r="R545" s="3"/>
      <c r="S545" s="3"/>
      <c r="T545" s="3"/>
      <c r="U545" s="3"/>
      <c r="V545" s="10"/>
      <c r="W545" s="3"/>
    </row>
    <row r="546" spans="1:23" s="2" customFormat="1" ht="14" x14ac:dyDescent="0.3">
      <c r="A546" s="57" t="s">
        <v>851</v>
      </c>
      <c r="B546" s="3"/>
      <c r="C546" s="3"/>
      <c r="D546" s="3"/>
      <c r="E546" s="57" t="s">
        <v>1198</v>
      </c>
      <c r="F546" s="3"/>
      <c r="G546" s="3"/>
      <c r="H546" s="32"/>
      <c r="I546" s="97">
        <f>AVERAGE(I146,I237,I253,I280,I296,I314,I337,I414,I541)</f>
        <v>2.2966219024782268</v>
      </c>
      <c r="J546" s="97">
        <f>STDEV(I146,I237,I253,I280,I296,I314,I337,I414,I541)/SQRT(COUNT(I146,I237,I253,I280,I296,I314,I337,I414,I541))</f>
        <v>0.21134038288594895</v>
      </c>
      <c r="K546" s="32" t="s">
        <v>1752</v>
      </c>
      <c r="L546" s="32"/>
      <c r="M546" s="97">
        <f>AVERAGE(M146,M237,M253,M280,M296,M314,M337,M414,M541)</f>
        <v>1.3963053641313035</v>
      </c>
      <c r="N546" s="97">
        <f>STDEV(M146,M237,M253,M280,M296,M314,M337,M414,M541)/SQRT(COUNT(M146,M237,M253,M280,M296,M314,M337,M414,M541))</f>
        <v>9.346357333442111E-2</v>
      </c>
      <c r="O546" s="27" t="s">
        <v>1753</v>
      </c>
      <c r="P546" s="3"/>
      <c r="Q546" s="3"/>
      <c r="R546" s="3"/>
      <c r="S546" s="3"/>
      <c r="T546" s="3"/>
      <c r="U546" s="3"/>
      <c r="V546" s="10"/>
      <c r="W546" s="3"/>
    </row>
    <row r="547" spans="1:23" s="2" customFormat="1" ht="14" x14ac:dyDescent="0.3">
      <c r="A547" s="57" t="s">
        <v>852</v>
      </c>
      <c r="B547" s="3"/>
      <c r="C547" s="3"/>
      <c r="D547" s="3"/>
      <c r="E547" s="57" t="s">
        <v>82</v>
      </c>
      <c r="F547" s="3"/>
      <c r="G547" s="3"/>
      <c r="H547" s="32"/>
      <c r="I547" s="97">
        <f>AVERAGE(I4,I101,I103,I105,I236,I245,I284,I291,I363,I94,I99,I120,I126,I142,I155,I176,I181,I199,I203,I216,I299,I333,I361,I366,I515)</f>
        <v>0.90692311241565837</v>
      </c>
      <c r="J547" s="97">
        <f>STDEV(I4,I101,I103,I105,I236,I245,I284,I291,I363,I94,I99,I120,I126,I142,I155,I176,I181,I199,I203,I216,I299,I333,I361,I366,I515)/SQRT(COUNT(I4,I101,I103,I105,I236,I245,I284,I291,I363,I94,I99,I120,I126,I142,I155,I176,I181,I199,I203,I216,I299,I333,I361,I366,I515))</f>
        <v>9.8615201526777385E-2</v>
      </c>
      <c r="K547" s="32"/>
      <c r="L547" s="32"/>
      <c r="M547" s="97">
        <f>AVERAGE(M4,M101,M103,M105,M236,M245,M284,M291,M363,M94,M99,M120,M126,M142,M155,M176,M181,M199,M203,M216,M299,M333,M361,M366,M515)</f>
        <v>1.2004636652361285</v>
      </c>
      <c r="N547" s="97">
        <f>STDEV(M4,M101,M103,M105,M236,M245,M284,M291,M363,M94,M99,M120,M126,M142,M155,M176,M181,M199,M203,M216,M299,M333,M361,M366,M515)/SQRT(COUNT(M4,M101,M103,M105,M236,M245,M284,M291,M363,M94,M99,M120,M126,M142,M155,M176,M181,M199,M203,M216,M299,M333,M361,M366,M515))</f>
        <v>4.5652349883628228E-2</v>
      </c>
      <c r="O547" s="32"/>
      <c r="P547" s="3"/>
      <c r="Q547" s="3"/>
      <c r="R547" s="3"/>
      <c r="S547" s="3"/>
      <c r="T547" s="3"/>
      <c r="U547" s="3"/>
      <c r="V547" s="10"/>
      <c r="W547" s="3"/>
    </row>
    <row r="548" spans="1:23" s="2" customFormat="1" ht="14" x14ac:dyDescent="0.3">
      <c r="A548" s="57" t="s">
        <v>853</v>
      </c>
      <c r="B548" s="3"/>
      <c r="C548" s="3"/>
      <c r="D548" s="3"/>
      <c r="E548" s="57" t="s">
        <v>508</v>
      </c>
      <c r="F548" s="3"/>
      <c r="G548" s="3"/>
      <c r="H548" s="32"/>
      <c r="I548" s="97">
        <f>AVERAGE(I146,I237,I253,I280,I296,I314,I337,I414,I541)</f>
        <v>2.2966219024782268</v>
      </c>
      <c r="J548" s="97">
        <f>STDEV(I146,I237,I253,I280,I296,I314,I337,I414,I541)/SQRT(COUNT(I146,I237,I253,I280,I296,I314,I337,I414,I541))</f>
        <v>0.21134038288594895</v>
      </c>
      <c r="K548" s="32" t="s">
        <v>1752</v>
      </c>
      <c r="L548" s="32"/>
      <c r="M548" s="97">
        <f>AVERAGE(M146,M237,M253,M280,M296,M314,M337,M414,M541)</f>
        <v>1.3963053641313035</v>
      </c>
      <c r="N548" s="97">
        <f>STDEV(M146,M237,M253,M280,M296,M314,M337,M414,M541)/SQRT(COUNT(M146,M237,M253,M280,M296,M314,M337,M414,M541))</f>
        <v>9.346357333442111E-2</v>
      </c>
      <c r="O548" s="27" t="s">
        <v>1753</v>
      </c>
      <c r="P548" s="3"/>
      <c r="Q548" s="3"/>
      <c r="R548" s="3"/>
      <c r="S548" s="3"/>
      <c r="T548" s="3"/>
      <c r="U548" s="3"/>
      <c r="V548" s="10"/>
      <c r="W548" s="3"/>
    </row>
    <row r="549" spans="1:23" s="2" customFormat="1" ht="14" x14ac:dyDescent="0.3">
      <c r="A549" s="57" t="s">
        <v>854</v>
      </c>
      <c r="B549" s="3"/>
      <c r="C549" s="3"/>
      <c r="D549" s="3"/>
      <c r="E549" s="57" t="s">
        <v>34</v>
      </c>
      <c r="F549" s="3"/>
      <c r="G549" s="3"/>
      <c r="H549" s="32"/>
      <c r="I549" s="97">
        <f>AVERAGE(I70,I160,I216,I366,I412,I525)</f>
        <v>1.7212028571428573</v>
      </c>
      <c r="J549" s="97">
        <f>STDEV(I70,I160,I216,I366,I412,I525)/SQRT(COUNT(I70,I160,I216,I366,I412,I525))</f>
        <v>0.57801260960752954</v>
      </c>
      <c r="K549" s="32"/>
      <c r="L549" s="32"/>
      <c r="M549" s="97">
        <f>AVERAGE(M70,M160,M216,M366,M412,M525)</f>
        <v>1.2596838091965361</v>
      </c>
      <c r="N549" s="97">
        <f>STDEV(M70,M160,M216,M366,M412,M525)/SQRT(COUNT(M70,M160,M216,M366,M412,M525))</f>
        <v>7.763576909775842E-2</v>
      </c>
      <c r="O549" s="32"/>
      <c r="P549" s="3"/>
      <c r="Q549" s="3"/>
      <c r="R549" s="3"/>
      <c r="S549" s="3"/>
      <c r="T549" s="3"/>
      <c r="U549" s="3"/>
      <c r="V549" s="10"/>
      <c r="W549" s="3"/>
    </row>
    <row r="550" spans="1:23" s="2" customFormat="1" ht="14" x14ac:dyDescent="0.3">
      <c r="D550" s="3"/>
      <c r="E550" s="3"/>
      <c r="F550" s="3"/>
      <c r="G550" s="3"/>
      <c r="H550" s="32"/>
      <c r="I550" s="4"/>
      <c r="J550" s="4"/>
      <c r="K550" s="32"/>
      <c r="L550" s="32"/>
      <c r="M550" s="4"/>
      <c r="N550" s="4"/>
      <c r="O550" s="32"/>
      <c r="P550" s="3"/>
      <c r="Q550" s="3"/>
      <c r="R550" s="3"/>
      <c r="S550" s="3"/>
      <c r="T550" s="3"/>
      <c r="U550" s="3"/>
      <c r="V550" s="10"/>
      <c r="W550" s="3"/>
    </row>
    <row r="551" spans="1:23" s="2" customFormat="1" ht="14" x14ac:dyDescent="0.3">
      <c r="A551" s="3"/>
      <c r="B551" s="3"/>
      <c r="C551" s="181" t="s">
        <v>1754</v>
      </c>
      <c r="D551" s="182"/>
      <c r="F551" s="3"/>
      <c r="G551" s="3"/>
      <c r="H551" s="32"/>
      <c r="I551" s="162">
        <f>AVERAGE(I541,I535:I535,I529,I525,I515,I428,I412,I405,I361,I333,I314,I307,I280,I256,I232,I216,I203,I199,I181,I176,I171,I155,I142,I126,I99,I88,I65,I56,I39,I32,I434,I414,I406,I366,I363,I337,I301,I296,I293,I291,I287,I286,I284,I272,I260,I253,I247,I245,I239,I236,I237,I225,I220,I218,I210,I208,I206,I299,I183,I160,I146,I120,I110,I105,I103,I101,I94,I70,I68,I4)</f>
        <v>1.7484661090102953</v>
      </c>
      <c r="J551" s="162">
        <f>STDEV(I541,I535:I535,I529,I525,I515,I428,I412,I405,I361,I333,I314,I307,I280,I256,I232,I216,I203,I199,I181,I176,I171,I155,I142,I126,I99,I88,I65,I56,I39,I32,I434,I414,I406,I366,I363,I337,I301,I296,I293,I291,I287,I286,I284,I272,I260,I253,I247,I245,I239,I236,I237,I225,I220,I218,I210,I208,I206,I299,I183,I160,I146,I120,I110,I105,I103,I101,I94,I70,I68,I4)/SQRT(COUNT(I541,I535:I535,I529,I525,I515,I428,I412,I405,I361,I333,I314,I307,I280,I256,I232,I216,I203,I199,I181,I176,I171,I155,I142,I126,I99,I88,I65,I56,I39,I32,I434,I414,I406,I366,I363,I337,I301,I296,I293,I291,I287,I286,I284,I272,I260,I253,I247,I245,I239,I236,I237,I225,I220,I218,I210,I208,I206,I299,I183,I160,I146,I120,I110,I105,I103,I101,I94,I70,I68,I4))</f>
        <v>0.19873933282831049</v>
      </c>
      <c r="K551" s="34"/>
      <c r="M551" s="162">
        <f>AVERAGE(M541,M535:M535,M529,M525,M515,M428,M412,M405,M361,M333,M314,M307,M280,M256,M232,M216,M203,M199,M181,M176,M171,M155,M142,M126,M99,M88,M65,M56,M39,M32,M434,M414,M406,M366,M363,M337,M301,M296,M293,M291,M287,M286,M284,M272,M260,M253,M247,M245,M239,M236,M237,M225,M220,M218,M210,M208,M206,M299,M183,M160,M146,M120,M110,M105,M103,M101,M94,M70,M68,M4)</f>
        <v>1.3361515408862255</v>
      </c>
      <c r="N551" s="162">
        <f>STDEV(M541,M535:M535,M529,M525,M515,M428,M412,M405,M361,M333,M314,M307,M280,M256,M232,M216,M203,M199,M181,M176,M171,M155,M142,M126,M99,M88,M65,M56,M39,M32,M434,M414,M406,M366,M363,M337,M301,M296,M293,M291,M287,M286,M284,M272,M260,M253,M247,M245,M239,M236,M237,M225,M220,M218,M210,M208,M206,M299,M183,M160,M146,M120,M110,M105,M103,M101,M94,M70,M68,M4)/SQRT(COUNT(M541,M535:M535,M529,M525,M515,M428,M412,M405,M361,M333,M314,M307,M280,M256,M232,M216,M203,M199,M181,M176,M171,M155,M142,M126,M99,M88,M65,M56,M39,M32,M434,M414,M406,M366,M363,M337,M301,M296,M293,M291,M287,M286,M284,M272,M260,M253,M247,M245,M239,M236,M237,M225,M220,M218,M210,M208,M206,M299,M183,M160,M146,M120,M110,M105,M103,M101,M94,M70,M68,M4))</f>
        <v>3.5190846471400354E-2</v>
      </c>
      <c r="O551" s="32"/>
      <c r="P551" s="3"/>
      <c r="Q551" s="3"/>
      <c r="R551" s="3"/>
      <c r="S551" s="3"/>
      <c r="T551" s="3"/>
      <c r="U551" s="3"/>
      <c r="V551" s="10"/>
      <c r="W551" s="3"/>
    </row>
    <row r="552" spans="1:23" s="2" customFormat="1" ht="14" x14ac:dyDescent="0.3">
      <c r="A552" s="3"/>
      <c r="B552" s="3"/>
      <c r="C552" s="3"/>
      <c r="D552" s="3"/>
      <c r="E552" s="3"/>
      <c r="F552" s="3"/>
      <c r="G552" s="3"/>
      <c r="H552" s="32"/>
      <c r="I552" s="4"/>
      <c r="J552" s="4"/>
      <c r="K552" s="32"/>
      <c r="L552" s="32"/>
      <c r="M552" s="4"/>
      <c r="N552" s="4"/>
      <c r="O552" s="32"/>
      <c r="P552" s="3"/>
      <c r="Q552" s="3"/>
      <c r="R552" s="3"/>
      <c r="S552" s="3"/>
      <c r="T552" s="3"/>
      <c r="U552" s="3"/>
      <c r="V552" s="10"/>
      <c r="W552" s="3"/>
    </row>
    <row r="553" spans="1:23" s="2" customFormat="1" ht="14" x14ac:dyDescent="0.3">
      <c r="A553" s="3"/>
      <c r="B553" s="3"/>
      <c r="C553" s="3"/>
      <c r="D553" s="3"/>
      <c r="E553" s="3"/>
      <c r="F553" s="3"/>
      <c r="G553" s="3"/>
      <c r="H553" s="32"/>
      <c r="I553" s="4"/>
      <c r="J553" s="4"/>
      <c r="K553" s="32"/>
      <c r="L553" s="32"/>
      <c r="M553" s="4"/>
      <c r="N553" s="4"/>
      <c r="O553" s="32"/>
      <c r="P553" s="3"/>
      <c r="Q553" s="3"/>
      <c r="R553" s="3"/>
      <c r="S553" s="3"/>
      <c r="T553" s="3"/>
      <c r="U553" s="3"/>
      <c r="V553" s="10"/>
      <c r="W553" s="3"/>
    </row>
    <row r="554" spans="1:23" s="2" customFormat="1" ht="14" x14ac:dyDescent="0.3">
      <c r="A554" s="3"/>
      <c r="B554" s="3"/>
      <c r="C554" s="3"/>
      <c r="D554" s="3"/>
      <c r="E554" s="3"/>
      <c r="F554" s="3"/>
      <c r="G554" s="3"/>
      <c r="H554" s="32"/>
      <c r="I554" s="235" t="s">
        <v>1797</v>
      </c>
      <c r="J554" s="235"/>
      <c r="K554" s="248"/>
      <c r="L554" s="32"/>
      <c r="M554" s="4"/>
      <c r="N554" s="4"/>
      <c r="O554" s="32"/>
      <c r="P554" s="3"/>
      <c r="Q554" s="3"/>
      <c r="R554" s="3"/>
      <c r="S554" s="3"/>
      <c r="T554" s="3"/>
      <c r="U554" s="3"/>
      <c r="V554" s="10"/>
      <c r="W554" s="3"/>
    </row>
    <row r="555" spans="1:23" s="2" customFormat="1" ht="14" x14ac:dyDescent="0.3">
      <c r="A555" s="3"/>
      <c r="B555" s="3"/>
      <c r="C555" s="3"/>
      <c r="D555" s="3"/>
      <c r="E555" s="3"/>
      <c r="F555" s="3"/>
      <c r="G555" s="3"/>
      <c r="H555" s="32"/>
      <c r="I555" s="4"/>
      <c r="J555" s="4"/>
      <c r="K555" s="32"/>
      <c r="L555" s="32"/>
      <c r="M555" s="4"/>
      <c r="N555" s="4"/>
      <c r="O555" s="32"/>
      <c r="P555" s="3"/>
      <c r="Q555" s="3"/>
      <c r="R555" s="3"/>
      <c r="S555" s="3"/>
      <c r="T555" s="3"/>
      <c r="U555" s="3"/>
      <c r="V555" s="10"/>
      <c r="W555" s="3"/>
    </row>
    <row r="556" spans="1:23" s="2" customFormat="1" ht="14" x14ac:dyDescent="0.3">
      <c r="A556" s="3"/>
      <c r="B556" s="3"/>
      <c r="C556" s="3"/>
      <c r="D556" s="3"/>
      <c r="E556" s="3"/>
      <c r="F556" s="3"/>
      <c r="G556" s="3"/>
      <c r="H556" s="32"/>
      <c r="I556" s="4"/>
      <c r="J556" s="4"/>
      <c r="K556" s="32"/>
      <c r="L556" s="32"/>
      <c r="M556" s="4"/>
      <c r="N556" s="4"/>
      <c r="O556" s="32"/>
      <c r="P556" s="3"/>
      <c r="Q556" s="3"/>
      <c r="R556" s="3"/>
      <c r="S556" s="3"/>
      <c r="T556" s="3"/>
      <c r="U556" s="3"/>
      <c r="V556" s="10"/>
      <c r="W556" s="3"/>
    </row>
    <row r="557" spans="1:23" s="2" customFormat="1" ht="14" x14ac:dyDescent="0.3">
      <c r="A557" s="3"/>
      <c r="B557" s="3"/>
      <c r="C557" s="3"/>
      <c r="D557" s="3"/>
      <c r="E557" s="3"/>
      <c r="F557" s="3"/>
      <c r="G557" s="3"/>
      <c r="H557" s="32"/>
      <c r="I557" s="4"/>
      <c r="J557" s="4"/>
      <c r="K557" s="32"/>
      <c r="L557" s="32"/>
      <c r="M557" s="4"/>
      <c r="N557" s="4"/>
      <c r="O557" s="32"/>
      <c r="P557" s="3"/>
      <c r="Q557" s="3"/>
      <c r="R557" s="3"/>
      <c r="S557" s="3"/>
      <c r="T557" s="3"/>
      <c r="U557" s="3"/>
      <c r="V557" s="10"/>
      <c r="W557" s="3"/>
    </row>
    <row r="558" spans="1:23" s="2" customFormat="1" ht="14" x14ac:dyDescent="0.3">
      <c r="A558" s="3"/>
      <c r="B558" s="3"/>
      <c r="C558" s="3"/>
      <c r="D558" s="3"/>
      <c r="E558" s="3"/>
      <c r="F558" s="3"/>
      <c r="G558" s="3"/>
      <c r="H558" s="32"/>
      <c r="I558" s="4"/>
      <c r="J558" s="4"/>
      <c r="K558" s="32"/>
      <c r="L558" s="32"/>
      <c r="M558" s="4"/>
      <c r="N558" s="4"/>
      <c r="O558" s="32"/>
      <c r="P558" s="3"/>
      <c r="Q558" s="3"/>
      <c r="R558" s="3"/>
      <c r="S558" s="3"/>
      <c r="T558" s="3"/>
      <c r="U558" s="3"/>
      <c r="V558" s="10"/>
      <c r="W558" s="3"/>
    </row>
    <row r="559" spans="1:23" s="2" customFormat="1" ht="14" x14ac:dyDescent="0.3">
      <c r="A559" s="3"/>
      <c r="B559" s="3"/>
      <c r="C559" s="3"/>
      <c r="D559" s="3"/>
      <c r="E559" s="3"/>
      <c r="F559" s="3"/>
      <c r="G559" s="3"/>
      <c r="H559" s="32"/>
      <c r="I559" s="4"/>
      <c r="J559" s="4"/>
      <c r="K559" s="32"/>
      <c r="L559" s="32"/>
      <c r="M559" s="4"/>
      <c r="N559" s="4"/>
      <c r="O559" s="32"/>
      <c r="P559" s="3"/>
      <c r="Q559" s="3"/>
      <c r="R559" s="3"/>
      <c r="S559" s="3"/>
      <c r="T559" s="3"/>
      <c r="U559" s="3"/>
      <c r="V559" s="10"/>
      <c r="W559" s="3"/>
    </row>
    <row r="560" spans="1:23" s="2" customFormat="1" ht="14" x14ac:dyDescent="0.3">
      <c r="A560" s="3"/>
      <c r="B560" s="3"/>
      <c r="C560" s="3"/>
      <c r="D560" s="3"/>
      <c r="E560" s="3"/>
      <c r="F560" s="3"/>
      <c r="G560" s="3"/>
      <c r="H560" s="32"/>
      <c r="I560" s="4"/>
      <c r="J560" s="4"/>
      <c r="K560" s="32"/>
      <c r="L560" s="32"/>
      <c r="M560" s="4"/>
      <c r="N560" s="4"/>
      <c r="O560" s="32"/>
      <c r="P560" s="3"/>
      <c r="Q560" s="3"/>
      <c r="R560" s="3"/>
      <c r="S560" s="3"/>
      <c r="T560" s="3"/>
      <c r="U560" s="3"/>
      <c r="V560" s="10"/>
      <c r="W560" s="3"/>
    </row>
    <row r="561" spans="1:23" s="2" customFormat="1" ht="14" x14ac:dyDescent="0.3">
      <c r="A561" s="3"/>
      <c r="B561" s="3"/>
      <c r="C561" s="3"/>
      <c r="D561" s="3"/>
      <c r="E561" s="3"/>
      <c r="F561" s="3"/>
      <c r="G561" s="3"/>
      <c r="H561" s="32"/>
      <c r="I561" s="4"/>
      <c r="J561" s="4"/>
      <c r="K561" s="32"/>
      <c r="L561" s="32"/>
      <c r="M561" s="4"/>
      <c r="N561" s="4"/>
      <c r="O561" s="32"/>
      <c r="P561" s="3"/>
      <c r="Q561" s="3"/>
      <c r="R561" s="3"/>
      <c r="S561" s="3"/>
      <c r="T561" s="3"/>
      <c r="U561" s="3"/>
      <c r="V561" s="10"/>
      <c r="W561" s="3"/>
    </row>
    <row r="562" spans="1:23" s="2" customFormat="1" ht="14" x14ac:dyDescent="0.3">
      <c r="A562" s="3"/>
      <c r="B562" s="3"/>
      <c r="C562" s="3"/>
      <c r="D562" s="3"/>
      <c r="E562" s="3"/>
      <c r="F562" s="3"/>
      <c r="G562" s="3"/>
      <c r="H562" s="32"/>
      <c r="I562" s="4"/>
      <c r="J562" s="4"/>
      <c r="K562" s="32"/>
      <c r="L562" s="32"/>
      <c r="M562" s="4"/>
      <c r="N562" s="4"/>
      <c r="O562" s="32"/>
      <c r="P562" s="3"/>
      <c r="Q562" s="3"/>
      <c r="R562" s="3"/>
      <c r="S562" s="3"/>
      <c r="T562" s="3"/>
      <c r="U562" s="3"/>
      <c r="V562" s="10"/>
      <c r="W562" s="3"/>
    </row>
    <row r="563" spans="1:23" s="2" customFormat="1" ht="14" x14ac:dyDescent="0.3">
      <c r="A563" s="3"/>
      <c r="B563" s="3"/>
      <c r="C563" s="3"/>
      <c r="D563" s="3"/>
      <c r="E563" s="3"/>
      <c r="F563" s="3"/>
      <c r="G563" s="3"/>
      <c r="H563" s="32"/>
      <c r="I563" s="4"/>
      <c r="J563" s="4"/>
      <c r="K563" s="32"/>
      <c r="L563" s="32"/>
      <c r="M563" s="4"/>
      <c r="N563" s="4"/>
      <c r="O563" s="32"/>
      <c r="P563" s="3"/>
      <c r="Q563" s="3"/>
      <c r="R563" s="3"/>
      <c r="S563" s="3"/>
      <c r="T563" s="3"/>
      <c r="U563" s="3"/>
      <c r="V563" s="10"/>
      <c r="W563" s="3"/>
    </row>
    <row r="564" spans="1:23" s="2" customFormat="1" ht="14" x14ac:dyDescent="0.3">
      <c r="A564" s="3"/>
      <c r="B564" s="3"/>
      <c r="C564" s="3"/>
      <c r="D564" s="3"/>
      <c r="E564" s="3"/>
      <c r="F564" s="3"/>
      <c r="G564" s="3"/>
      <c r="H564" s="32"/>
      <c r="I564" s="4"/>
      <c r="J564" s="4"/>
      <c r="K564" s="32"/>
      <c r="L564" s="32"/>
      <c r="M564" s="4"/>
      <c r="N564" s="4"/>
      <c r="O564" s="32"/>
      <c r="P564" s="3"/>
      <c r="Q564" s="3"/>
      <c r="R564" s="3"/>
      <c r="S564" s="3"/>
      <c r="T564" s="3"/>
      <c r="U564" s="3"/>
      <c r="V564" s="10"/>
      <c r="W564" s="3"/>
    </row>
    <row r="565" spans="1:23" s="2" customFormat="1" ht="14" x14ac:dyDescent="0.3">
      <c r="A565" s="3"/>
      <c r="B565" s="3"/>
      <c r="C565" s="3"/>
      <c r="D565" s="3"/>
      <c r="E565" s="3"/>
      <c r="F565" s="3"/>
      <c r="G565" s="3"/>
      <c r="H565" s="32"/>
      <c r="I565" s="4"/>
      <c r="J565" s="4"/>
      <c r="K565" s="32"/>
      <c r="L565" s="32"/>
      <c r="M565" s="4"/>
      <c r="N565" s="4"/>
      <c r="O565" s="32"/>
      <c r="P565" s="3"/>
      <c r="Q565" s="3"/>
      <c r="R565" s="3"/>
      <c r="S565" s="3"/>
      <c r="T565" s="3"/>
      <c r="U565" s="3"/>
      <c r="V565" s="10"/>
      <c r="W565" s="3"/>
    </row>
    <row r="566" spans="1:23" s="2" customFormat="1" ht="14" x14ac:dyDescent="0.3">
      <c r="A566" s="3"/>
      <c r="B566" s="3"/>
      <c r="C566" s="3"/>
      <c r="D566" s="3"/>
      <c r="E566" s="3"/>
      <c r="F566" s="3"/>
      <c r="G566" s="3"/>
      <c r="H566" s="32"/>
      <c r="I566" s="4"/>
      <c r="J566" s="4"/>
      <c r="K566" s="32"/>
      <c r="L566" s="32"/>
      <c r="M566" s="4"/>
      <c r="N566" s="4"/>
      <c r="O566" s="32"/>
      <c r="P566" s="3"/>
      <c r="Q566" s="3"/>
      <c r="R566" s="3"/>
      <c r="S566" s="3"/>
      <c r="T566" s="3"/>
      <c r="U566" s="3"/>
      <c r="V566" s="10"/>
      <c r="W566" s="3"/>
    </row>
    <row r="567" spans="1:23" s="2" customFormat="1" ht="14" x14ac:dyDescent="0.3">
      <c r="A567" s="3"/>
      <c r="B567" s="3"/>
      <c r="C567" s="3"/>
      <c r="D567" s="3"/>
      <c r="E567" s="3"/>
      <c r="F567" s="3"/>
      <c r="G567" s="3"/>
      <c r="H567" s="32"/>
      <c r="I567" s="4"/>
      <c r="J567" s="4"/>
      <c r="K567" s="32"/>
      <c r="L567" s="32"/>
      <c r="M567" s="4"/>
      <c r="N567" s="4"/>
      <c r="O567" s="32"/>
      <c r="P567" s="3"/>
      <c r="Q567" s="3"/>
      <c r="R567" s="3"/>
      <c r="S567" s="3"/>
      <c r="T567" s="3"/>
      <c r="U567" s="3"/>
      <c r="V567" s="10"/>
      <c r="W567" s="3"/>
    </row>
  </sheetData>
  <autoFilter ref="A1:W541">
    <sortState ref="A2:AA416">
      <sortCondition ref="B2:B416"/>
      <sortCondition ref="C2:C416"/>
      <sortCondition ref="E2:E416"/>
      <sortCondition ref="D2:D416"/>
      <sortCondition ref="U2:U416"/>
    </sortState>
  </autoFilter>
  <mergeCells count="67">
    <mergeCell ref="V539:AP539"/>
    <mergeCell ref="V341:AP341"/>
    <mergeCell ref="V362:AP362"/>
    <mergeCell ref="V364:AP364"/>
    <mergeCell ref="V427:AP427"/>
    <mergeCell ref="V523:AP523"/>
    <mergeCell ref="V524:AP524"/>
    <mergeCell ref="V340:AP340"/>
    <mergeCell ref="V285:AP285"/>
    <mergeCell ref="V289:AP289"/>
    <mergeCell ref="V290:AP290"/>
    <mergeCell ref="V292:AP292"/>
    <mergeCell ref="V295:AP295"/>
    <mergeCell ref="V309:AP309"/>
    <mergeCell ref="V311:AP311"/>
    <mergeCell ref="V312:AP312"/>
    <mergeCell ref="V313:AP313"/>
    <mergeCell ref="V335:AP335"/>
    <mergeCell ref="V336:AP336"/>
    <mergeCell ref="V282:AP282"/>
    <mergeCell ref="V219:AP219"/>
    <mergeCell ref="V235:AP235"/>
    <mergeCell ref="V238:AP238"/>
    <mergeCell ref="V240:AP240"/>
    <mergeCell ref="V241:AP241"/>
    <mergeCell ref="V242:AP242"/>
    <mergeCell ref="V252:AP252"/>
    <mergeCell ref="V259:AP259"/>
    <mergeCell ref="V270:AP270"/>
    <mergeCell ref="V271:AP271"/>
    <mergeCell ref="V281:AP281"/>
    <mergeCell ref="V217:AP217"/>
    <mergeCell ref="V151:AP151"/>
    <mergeCell ref="V172:AP172"/>
    <mergeCell ref="V173:AP173"/>
    <mergeCell ref="V188:AP188"/>
    <mergeCell ref="V191:AP191"/>
    <mergeCell ref="V192:AP192"/>
    <mergeCell ref="V202:AP202"/>
    <mergeCell ref="V204:AP204"/>
    <mergeCell ref="V205:AP205"/>
    <mergeCell ref="V207:AP207"/>
    <mergeCell ref="V212:AP212"/>
    <mergeCell ref="V150:AP150"/>
    <mergeCell ref="V112:AP112"/>
    <mergeCell ref="V113:AP113"/>
    <mergeCell ref="V127:AP127"/>
    <mergeCell ref="V128:AP128"/>
    <mergeCell ref="V129:AP129"/>
    <mergeCell ref="V130:AP130"/>
    <mergeCell ref="V131:AP131"/>
    <mergeCell ref="V144:AP144"/>
    <mergeCell ref="V145:AP145"/>
    <mergeCell ref="V148:AP148"/>
    <mergeCell ref="V149:AP149"/>
    <mergeCell ref="V111:AP111"/>
    <mergeCell ref="V2:AP2"/>
    <mergeCell ref="V3:AP3"/>
    <mergeCell ref="V43:AP43"/>
    <mergeCell ref="V21:AP21"/>
    <mergeCell ref="V53:AP53"/>
    <mergeCell ref="V58:AP58"/>
    <mergeCell ref="V76:AP76"/>
    <mergeCell ref="V96:AP96"/>
    <mergeCell ref="V100:AP100"/>
    <mergeCell ref="V102:AP102"/>
    <mergeCell ref="V104:AP10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59"/>
  <sheetViews>
    <sheetView zoomScale="85" zoomScaleNormal="85" workbookViewId="0">
      <selection activeCell="D11" sqref="D11"/>
    </sheetView>
  </sheetViews>
  <sheetFormatPr defaultColWidth="9.08984375" defaultRowHeight="14.5" x14ac:dyDescent="0.35"/>
  <cols>
    <col min="1" max="1" width="6.90625" style="194" bestFit="1" customWidth="1"/>
    <col min="2" max="2" width="27.54296875" style="224" bestFit="1" customWidth="1"/>
    <col min="3" max="3" width="13.54296875" style="193" bestFit="1" customWidth="1"/>
    <col min="4" max="4" width="24.6328125" style="193" customWidth="1"/>
    <col min="5" max="5" width="11.08984375" style="192" customWidth="1"/>
    <col min="6" max="6" width="20.08984375" style="192" customWidth="1"/>
    <col min="7" max="7" width="12.26953125" style="192" customWidth="1"/>
    <col min="8" max="8" width="15.453125" style="192" customWidth="1"/>
    <col min="9" max="9" width="10.90625" style="193" customWidth="1"/>
    <col min="10" max="10" width="10.6328125" style="193" customWidth="1"/>
    <col min="11" max="11" width="49.453125" style="193" customWidth="1"/>
    <col min="12" max="16384" width="9.08984375" style="193"/>
  </cols>
  <sheetData>
    <row r="1" spans="1:17" x14ac:dyDescent="0.35">
      <c r="H1" s="180"/>
    </row>
    <row r="2" spans="1:17" ht="14.5" customHeight="1" x14ac:dyDescent="0.35">
      <c r="B2" s="287" t="s">
        <v>1826</v>
      </c>
      <c r="C2" s="287"/>
      <c r="D2" s="287"/>
      <c r="E2" s="287"/>
      <c r="H2" s="236" t="s">
        <v>1799</v>
      </c>
      <c r="I2" s="236"/>
      <c r="J2" s="236"/>
      <c r="K2" s="236"/>
    </row>
    <row r="3" spans="1:17" ht="14.5" customHeight="1" x14ac:dyDescent="0.35">
      <c r="B3" s="294" t="s">
        <v>1813</v>
      </c>
      <c r="C3" s="295"/>
      <c r="D3" s="296"/>
      <c r="E3"/>
      <c r="H3" s="241" t="s">
        <v>1800</v>
      </c>
      <c r="I3" s="242"/>
      <c r="J3" s="242"/>
      <c r="K3" s="243"/>
    </row>
    <row r="4" spans="1:17" x14ac:dyDescent="0.35">
      <c r="B4" s="288" t="s">
        <v>1827</v>
      </c>
      <c r="C4" s="289"/>
      <c r="D4" s="290"/>
      <c r="E4"/>
      <c r="H4" s="244" t="s">
        <v>1801</v>
      </c>
      <c r="I4"/>
      <c r="J4"/>
      <c r="K4" s="245"/>
    </row>
    <row r="5" spans="1:17" x14ac:dyDescent="0.35">
      <c r="B5" s="291"/>
      <c r="C5" s="292"/>
      <c r="D5" s="293"/>
      <c r="H5" s="297" t="s">
        <v>1853</v>
      </c>
      <c r="I5" s="298"/>
      <c r="J5" s="298"/>
      <c r="K5" s="298"/>
      <c r="L5" s="299"/>
    </row>
    <row r="6" spans="1:17" x14ac:dyDescent="0.35">
      <c r="B6" s="234" t="s">
        <v>1812</v>
      </c>
      <c r="C6" s="194"/>
      <c r="D6" s="194"/>
      <c r="H6" s="300" t="s">
        <v>1854</v>
      </c>
      <c r="I6" s="301"/>
      <c r="J6" s="301"/>
      <c r="K6" s="301"/>
      <c r="L6" s="302"/>
    </row>
    <row r="7" spans="1:17" x14ac:dyDescent="0.35">
      <c r="B7" s="234" t="s">
        <v>1849</v>
      </c>
      <c r="C7" s="194"/>
      <c r="D7" s="194"/>
      <c r="E7" s="214"/>
      <c r="H7" s="232"/>
    </row>
    <row r="8" spans="1:17" x14ac:dyDescent="0.35">
      <c r="B8" s="239" t="s">
        <v>1842</v>
      </c>
      <c r="C8" s="240"/>
      <c r="D8" s="237"/>
      <c r="E8" s="237"/>
      <c r="F8" s="237"/>
      <c r="G8" s="237"/>
      <c r="H8" s="237"/>
    </row>
    <row r="9" spans="1:17" x14ac:dyDescent="0.35">
      <c r="B9" s="233" t="s">
        <v>1825</v>
      </c>
      <c r="C9" s="238"/>
      <c r="E9" s="250" t="s">
        <v>1845</v>
      </c>
      <c r="G9" s="250" t="s">
        <v>1845</v>
      </c>
      <c r="H9" s="180"/>
      <c r="I9" s="193" t="s">
        <v>1803</v>
      </c>
    </row>
    <row r="10" spans="1:17" s="187" customFormat="1" ht="38.25" customHeight="1" x14ac:dyDescent="0.35">
      <c r="A10" s="183" t="s">
        <v>845</v>
      </c>
      <c r="B10" s="183" t="s">
        <v>846</v>
      </c>
      <c r="C10" s="183" t="s">
        <v>786</v>
      </c>
      <c r="D10" s="184" t="s">
        <v>1025</v>
      </c>
      <c r="E10" s="184" t="s">
        <v>1839</v>
      </c>
      <c r="F10" s="185" t="s">
        <v>1788</v>
      </c>
      <c r="G10" s="185" t="s">
        <v>1839</v>
      </c>
      <c r="H10" s="185" t="s">
        <v>1798</v>
      </c>
      <c r="I10" s="186" t="s">
        <v>1205</v>
      </c>
      <c r="J10" s="186" t="s">
        <v>1206</v>
      </c>
      <c r="K10" s="283" t="s">
        <v>770</v>
      </c>
    </row>
    <row r="11" spans="1:17" x14ac:dyDescent="0.35">
      <c r="A11" s="188" t="s">
        <v>847</v>
      </c>
      <c r="B11" s="188" t="s">
        <v>848</v>
      </c>
      <c r="C11" s="188" t="s">
        <v>359</v>
      </c>
      <c r="D11" s="189">
        <f>'Coral growth rates and density'!I543</f>
        <v>2.3319323773539402</v>
      </c>
      <c r="E11" s="190">
        <f>1.96*'Coral growth rates and density'!J543</f>
        <v>0.59944288757054554</v>
      </c>
      <c r="F11" s="190">
        <f>'Coral growth rates and density'!M543</f>
        <v>1.4323073593073592</v>
      </c>
      <c r="G11" s="190">
        <f>1.96*'Coral growth rates and density'!N543</f>
        <v>0.13958366373481726</v>
      </c>
      <c r="H11" s="191">
        <v>0.25600000000000001</v>
      </c>
      <c r="I11" s="269"/>
      <c r="J11" s="270"/>
      <c r="K11" s="259"/>
      <c r="L11" s="194"/>
      <c r="M11" s="194"/>
      <c r="N11" s="194"/>
      <c r="O11" s="194"/>
      <c r="P11" s="194"/>
    </row>
    <row r="12" spans="1:17" x14ac:dyDescent="0.35">
      <c r="A12" s="188" t="s">
        <v>849</v>
      </c>
      <c r="B12" s="188" t="s">
        <v>848</v>
      </c>
      <c r="C12" s="188" t="s">
        <v>338</v>
      </c>
      <c r="D12" s="195">
        <f>'Coral growth rates and density'!I544</f>
        <v>1.1068666666666667</v>
      </c>
      <c r="E12" s="196">
        <f>1.96*'Coral growth rates and density'!J544</f>
        <v>0.11630500465777238</v>
      </c>
      <c r="F12" s="196">
        <f>F15</f>
        <v>1.2004636652361285</v>
      </c>
      <c r="G12" s="196">
        <f>G15</f>
        <v>8.9478605771911329E-2</v>
      </c>
      <c r="H12" s="201"/>
      <c r="I12" s="271"/>
      <c r="J12" s="272" t="s">
        <v>852</v>
      </c>
      <c r="K12" s="260"/>
      <c r="L12" s="194"/>
      <c r="M12" s="198"/>
      <c r="N12" s="194"/>
      <c r="O12" s="194"/>
      <c r="P12" s="194"/>
    </row>
    <row r="13" spans="1:17" x14ac:dyDescent="0.35">
      <c r="A13" s="188" t="s">
        <v>850</v>
      </c>
      <c r="B13" s="188" t="s">
        <v>848</v>
      </c>
      <c r="C13" s="188" t="s">
        <v>20</v>
      </c>
      <c r="D13" s="195">
        <f>'Coral growth rates and density'!I545</f>
        <v>1.2406808404987837</v>
      </c>
      <c r="E13" s="196">
        <f>1.96*'Coral growth rates and density'!J545</f>
        <v>0.23356698971471701</v>
      </c>
      <c r="F13" s="196">
        <f>'Coral growth rates and density'!M545</f>
        <v>1.4628419045982679</v>
      </c>
      <c r="G13" s="196">
        <f>1.96*'Coral growth rates and density'!N545</f>
        <v>0.16795432994976825</v>
      </c>
      <c r="H13" s="197"/>
      <c r="I13" s="271"/>
      <c r="J13" s="272"/>
      <c r="K13" s="260"/>
      <c r="L13" s="194"/>
      <c r="M13" s="199"/>
      <c r="N13" s="194"/>
      <c r="O13" s="194"/>
      <c r="P13" s="194"/>
    </row>
    <row r="14" spans="1:17" x14ac:dyDescent="0.35">
      <c r="A14" s="188" t="s">
        <v>851</v>
      </c>
      <c r="B14" s="188" t="s">
        <v>848</v>
      </c>
      <c r="C14" s="188" t="s">
        <v>609</v>
      </c>
      <c r="D14" s="195">
        <f>'Coral growth rates and density'!I546</f>
        <v>2.2966219024782268</v>
      </c>
      <c r="E14" s="196">
        <f>1.96*'Coral growth rates and density'!J546</f>
        <v>0.41422715045645991</v>
      </c>
      <c r="F14" s="196">
        <f>'Coral growth rates and density'!M546</f>
        <v>1.3963053641313035</v>
      </c>
      <c r="G14" s="196">
        <f>1.96*'Coral growth rates and density'!N546</f>
        <v>0.18318860373546536</v>
      </c>
      <c r="H14" s="197"/>
      <c r="I14" s="271" t="s">
        <v>1261</v>
      </c>
      <c r="J14" s="272" t="s">
        <v>1261</v>
      </c>
      <c r="K14" s="260" t="s">
        <v>1755</v>
      </c>
      <c r="L14" s="194"/>
      <c r="M14" s="194"/>
      <c r="N14" s="194"/>
      <c r="O14" s="194"/>
      <c r="P14" s="194"/>
    </row>
    <row r="15" spans="1:17" x14ac:dyDescent="0.35">
      <c r="A15" s="188" t="s">
        <v>852</v>
      </c>
      <c r="B15" s="188" t="s">
        <v>848</v>
      </c>
      <c r="C15" s="188" t="s">
        <v>82</v>
      </c>
      <c r="D15" s="195">
        <f>'Coral growth rates and density'!I547</f>
        <v>0.90692311241565837</v>
      </c>
      <c r="E15" s="196">
        <f>1.96*'Coral growth rates and density'!J547</f>
        <v>0.19328579499248366</v>
      </c>
      <c r="F15" s="196">
        <f>'Coral growth rates and density'!M547</f>
        <v>1.2004636652361285</v>
      </c>
      <c r="G15" s="196">
        <f>1.96*'Coral growth rates and density'!N547</f>
        <v>8.9478605771911329E-2</v>
      </c>
      <c r="H15" s="197"/>
      <c r="I15" s="271"/>
      <c r="J15" s="272"/>
      <c r="K15" s="260"/>
      <c r="L15" s="194"/>
      <c r="M15" s="194"/>
      <c r="N15" s="194"/>
      <c r="O15" s="194"/>
      <c r="P15" s="194"/>
    </row>
    <row r="16" spans="1:17" x14ac:dyDescent="0.35">
      <c r="A16" s="188" t="s">
        <v>853</v>
      </c>
      <c r="B16" s="188" t="s">
        <v>848</v>
      </c>
      <c r="C16" s="188" t="s">
        <v>508</v>
      </c>
      <c r="D16" s="195">
        <f>'Coral growth rates and density'!I548</f>
        <v>2.2966219024782268</v>
      </c>
      <c r="E16" s="196">
        <f>1.96*'Coral growth rates and density'!J548</f>
        <v>0.41422715045645991</v>
      </c>
      <c r="F16" s="200">
        <f>'Coral growth rates and density'!M548</f>
        <v>1.3963053641313035</v>
      </c>
      <c r="G16" s="200">
        <f>1.96*'Coral growth rates and density'!N548</f>
        <v>0.18318860373546536</v>
      </c>
      <c r="H16" s="201"/>
      <c r="I16" s="271" t="s">
        <v>1261</v>
      </c>
      <c r="J16" s="272" t="s">
        <v>1261</v>
      </c>
      <c r="K16" s="260" t="s">
        <v>1755</v>
      </c>
      <c r="L16" s="194"/>
      <c r="M16" s="194"/>
      <c r="N16" s="194"/>
      <c r="O16" s="194"/>
      <c r="P16" s="194"/>
      <c r="Q16" s="194"/>
    </row>
    <row r="17" spans="1:17" x14ac:dyDescent="0.35">
      <c r="A17" s="188" t="s">
        <v>854</v>
      </c>
      <c r="B17" s="188" t="s">
        <v>848</v>
      </c>
      <c r="C17" s="188" t="s">
        <v>34</v>
      </c>
      <c r="D17" s="195">
        <f>'Coral growth rates and density'!I549</f>
        <v>1.7212028571428573</v>
      </c>
      <c r="E17" s="196">
        <f>1.96*'Coral growth rates and density'!J549</f>
        <v>1.1329047148307578</v>
      </c>
      <c r="F17" s="196">
        <f>'Coral growth rates and density'!M549</f>
        <v>1.2596838091965361</v>
      </c>
      <c r="G17" s="196">
        <f>1.96*'Coral growth rates and density'!N549</f>
        <v>0.1521661074316065</v>
      </c>
      <c r="H17" s="197"/>
      <c r="I17" s="271"/>
      <c r="J17" s="272"/>
      <c r="K17" s="260"/>
      <c r="L17" s="194"/>
      <c r="M17" s="194"/>
      <c r="N17" s="194"/>
      <c r="O17" s="194"/>
      <c r="P17" s="194"/>
      <c r="Q17" s="194"/>
    </row>
    <row r="18" spans="1:17" x14ac:dyDescent="0.35">
      <c r="A18" s="188"/>
      <c r="B18" s="188"/>
      <c r="C18" s="188"/>
      <c r="D18" s="202"/>
      <c r="E18" s="203"/>
      <c r="F18" s="204"/>
      <c r="G18" s="204"/>
      <c r="H18" s="205"/>
      <c r="I18" s="271"/>
      <c r="J18" s="272"/>
      <c r="K18" s="261"/>
    </row>
    <row r="19" spans="1:17" x14ac:dyDescent="0.35">
      <c r="A19" s="188" t="s">
        <v>855</v>
      </c>
      <c r="B19" s="206" t="s">
        <v>856</v>
      </c>
      <c r="C19" s="188" t="s">
        <v>20</v>
      </c>
      <c r="D19" s="195">
        <f>D20</f>
        <v>1.6600000000000001</v>
      </c>
      <c r="E19" s="196">
        <f>E20</f>
        <v>0.78399999999999914</v>
      </c>
      <c r="F19" s="196">
        <f t="shared" ref="F19:G19" si="0">F20</f>
        <v>1.1828918321666666</v>
      </c>
      <c r="G19" s="196">
        <f t="shared" si="0"/>
        <v>0.26873200895333327</v>
      </c>
      <c r="H19" s="197"/>
      <c r="I19" s="271" t="s">
        <v>857</v>
      </c>
      <c r="J19" s="272" t="s">
        <v>857</v>
      </c>
      <c r="K19" s="260"/>
    </row>
    <row r="20" spans="1:17" x14ac:dyDescent="0.35">
      <c r="A20" s="188" t="s">
        <v>857</v>
      </c>
      <c r="B20" s="206" t="s">
        <v>856</v>
      </c>
      <c r="C20" s="188" t="s">
        <v>82</v>
      </c>
      <c r="D20" s="195">
        <f>'Coral growth rates and density'!I4</f>
        <v>1.6600000000000001</v>
      </c>
      <c r="E20" s="196">
        <f>1.96*'Coral growth rates and density'!J4</f>
        <v>0.78399999999999914</v>
      </c>
      <c r="F20" s="196">
        <f>'Coral growth rates and density'!M4</f>
        <v>1.1828918321666666</v>
      </c>
      <c r="G20" s="196">
        <f>1.96*'Coral growth rates and density'!N4</f>
        <v>0.26873200895333327</v>
      </c>
      <c r="H20" s="197"/>
      <c r="I20" s="271"/>
      <c r="J20" s="272"/>
      <c r="K20" s="260"/>
    </row>
    <row r="21" spans="1:17" x14ac:dyDescent="0.35">
      <c r="A21" s="207" t="s">
        <v>1722</v>
      </c>
      <c r="B21" s="208" t="s">
        <v>1621</v>
      </c>
      <c r="C21" s="207" t="s">
        <v>883</v>
      </c>
      <c r="D21" s="195">
        <f>D95</f>
        <v>0.91899999999999993</v>
      </c>
      <c r="E21" s="196">
        <f>E95</f>
        <v>0.31802572893818931</v>
      </c>
      <c r="F21" s="196">
        <f t="shared" ref="F21" si="1">F95</f>
        <v>1.99</v>
      </c>
      <c r="G21" s="196">
        <f t="shared" ref="G21" si="2">G95</f>
        <v>0</v>
      </c>
      <c r="H21" s="197"/>
      <c r="I21" s="271" t="s">
        <v>1141</v>
      </c>
      <c r="J21" s="272" t="s">
        <v>1141</v>
      </c>
      <c r="K21" s="260" t="s">
        <v>1207</v>
      </c>
    </row>
    <row r="22" spans="1:17" x14ac:dyDescent="0.35">
      <c r="A22" s="188" t="s">
        <v>858</v>
      </c>
      <c r="B22" s="206" t="s">
        <v>673</v>
      </c>
      <c r="C22" s="188" t="s">
        <v>734</v>
      </c>
      <c r="D22" s="195">
        <f>'Coral growth rates and density'!I32</f>
        <v>8.508381486676015</v>
      </c>
      <c r="E22" s="196">
        <f>1.96*'Coral growth rates and density'!J32</f>
        <v>1.8854654539976938</v>
      </c>
      <c r="F22" s="196">
        <f>'Coral growth rates and density'!M32</f>
        <v>1.1526923076923077</v>
      </c>
      <c r="G22" s="196">
        <f>1.96*'Coral growth rates and density'!N32</f>
        <v>0.19610320384477475</v>
      </c>
      <c r="H22" s="197">
        <v>5.8999999999999997E-2</v>
      </c>
      <c r="I22" s="273"/>
      <c r="J22" s="274"/>
      <c r="K22" s="260"/>
    </row>
    <row r="23" spans="1:17" x14ac:dyDescent="0.35">
      <c r="A23" s="188" t="s">
        <v>859</v>
      </c>
      <c r="B23" s="206" t="s">
        <v>673</v>
      </c>
      <c r="C23" s="207" t="s">
        <v>1622</v>
      </c>
      <c r="D23" s="195">
        <f>'Coral growth rates and density'!I39</f>
        <v>5.0282</v>
      </c>
      <c r="E23" s="196">
        <f>1.96*'Coral growth rates and density'!J39</f>
        <v>1.220808212449443</v>
      </c>
      <c r="F23" s="196">
        <f>'Coral growth rates and density'!M39</f>
        <v>1.2150000000000001</v>
      </c>
      <c r="G23" s="196">
        <f>1.96*'Coral growth rates and density'!N39</f>
        <v>0.69579999999999942</v>
      </c>
      <c r="H23" s="197">
        <v>0.19</v>
      </c>
      <c r="I23" s="273"/>
      <c r="J23" s="274"/>
      <c r="K23" s="260" t="s">
        <v>1843</v>
      </c>
    </row>
    <row r="24" spans="1:17" x14ac:dyDescent="0.35">
      <c r="A24" s="188" t="s">
        <v>860</v>
      </c>
      <c r="B24" s="206" t="s">
        <v>673</v>
      </c>
      <c r="C24" s="188" t="s">
        <v>716</v>
      </c>
      <c r="D24" s="195">
        <f>'Coral growth rates and density'!I56</f>
        <v>3.0305521170050751</v>
      </c>
      <c r="E24" s="196">
        <f>1.96*'Coral growth rates and density'!J56</f>
        <v>0.84003853367432435</v>
      </c>
      <c r="F24" s="196">
        <f>'Coral growth rates and density'!M56</f>
        <v>1.3742857142857141</v>
      </c>
      <c r="G24" s="196">
        <f>1.96*'Coral growth rates and density'!N56</f>
        <v>0.15649971245980082</v>
      </c>
      <c r="H24" s="197">
        <v>0.19</v>
      </c>
      <c r="I24" s="273"/>
      <c r="J24" s="274"/>
      <c r="K24" s="260"/>
    </row>
    <row r="25" spans="1:17" x14ac:dyDescent="0.35">
      <c r="A25" s="188" t="s">
        <v>861</v>
      </c>
      <c r="B25" s="206" t="s">
        <v>673</v>
      </c>
      <c r="C25" s="188" t="s">
        <v>694</v>
      </c>
      <c r="D25" s="195">
        <f>'Coral growth rates and density'!I65</f>
        <v>2.0250000000000004</v>
      </c>
      <c r="E25" s="196">
        <f>1.96*'Coral growth rates and density'!J65</f>
        <v>0.69350890405242716</v>
      </c>
      <c r="F25" s="196">
        <f>'Coral growth rates and density'!M65</f>
        <v>1.4766666666666666</v>
      </c>
      <c r="G25" s="196">
        <f>1.96*'Coral growth rates and density'!N65</f>
        <v>4.5733333333333376E-2</v>
      </c>
      <c r="H25" s="197">
        <v>0.253</v>
      </c>
      <c r="I25" s="273"/>
      <c r="J25" s="274"/>
      <c r="K25" s="260"/>
    </row>
    <row r="26" spans="1:17" x14ac:dyDescent="0.35">
      <c r="A26" s="188" t="s">
        <v>862</v>
      </c>
      <c r="B26" s="206" t="s">
        <v>673</v>
      </c>
      <c r="C26" s="188" t="s">
        <v>20</v>
      </c>
      <c r="D26" s="195">
        <f>D28</f>
        <v>2.3200000000000003</v>
      </c>
      <c r="E26" s="196">
        <f>E28</f>
        <v>0.21840005982905167</v>
      </c>
      <c r="F26" s="196">
        <f>F24</f>
        <v>1.3742857142857141</v>
      </c>
      <c r="G26" s="196">
        <f>G24</f>
        <v>0.15649971245980082</v>
      </c>
      <c r="H26" s="197"/>
      <c r="I26" s="273" t="s">
        <v>863</v>
      </c>
      <c r="J26" s="274" t="s">
        <v>860</v>
      </c>
      <c r="K26" s="262"/>
    </row>
    <row r="27" spans="1:17" x14ac:dyDescent="0.35">
      <c r="A27" s="207" t="s">
        <v>1623</v>
      </c>
      <c r="B27" s="208" t="s">
        <v>673</v>
      </c>
      <c r="C27" s="207" t="s">
        <v>1624</v>
      </c>
      <c r="D27" s="195">
        <f>'Coral growth rates and density'!I68</f>
        <v>2.4</v>
      </c>
      <c r="E27" s="196">
        <f>1.96*'Coral growth rates and density'!J68</f>
        <v>0.92562481142199293</v>
      </c>
      <c r="F27" s="196">
        <f>'Coral growth rates and density'!M68</f>
        <v>1.27</v>
      </c>
      <c r="G27" s="196">
        <f>1.96*'Coral growth rates and density'!N68</f>
        <v>3.3948195828349993E-2</v>
      </c>
      <c r="H27" s="197">
        <v>0.19</v>
      </c>
      <c r="I27" s="273"/>
      <c r="J27" s="274"/>
      <c r="K27" s="262"/>
    </row>
    <row r="28" spans="1:17" x14ac:dyDescent="0.35">
      <c r="A28" s="188" t="s">
        <v>863</v>
      </c>
      <c r="B28" s="206" t="s">
        <v>673</v>
      </c>
      <c r="C28" s="188" t="s">
        <v>34</v>
      </c>
      <c r="D28" s="195">
        <f>'Coral growth rates and density'!I70</f>
        <v>2.3200000000000003</v>
      </c>
      <c r="E28" s="196">
        <f>1.96*'Coral growth rates and density'!J70</f>
        <v>0.21840005982905167</v>
      </c>
      <c r="F28" s="196">
        <f>F24</f>
        <v>1.3742857142857141</v>
      </c>
      <c r="G28" s="196">
        <f>G24</f>
        <v>0.15649971245980082</v>
      </c>
      <c r="H28" s="197"/>
      <c r="I28" s="273"/>
      <c r="J28" s="274" t="s">
        <v>860</v>
      </c>
      <c r="K28" s="260"/>
    </row>
    <row r="29" spans="1:17" x14ac:dyDescent="0.35">
      <c r="A29" s="188" t="s">
        <v>864</v>
      </c>
      <c r="B29" s="206" t="s">
        <v>673</v>
      </c>
      <c r="C29" s="188" t="s">
        <v>675</v>
      </c>
      <c r="D29" s="195">
        <f>'Coral growth rates and density'!I88</f>
        <v>6.6109857142857154</v>
      </c>
      <c r="E29" s="196">
        <f>1.96*'Coral growth rates and density'!J88</f>
        <v>2.0545705006402</v>
      </c>
      <c r="F29" s="196">
        <f>'Coral growth rates and density'!M88</f>
        <v>1.4000000000000001</v>
      </c>
      <c r="G29" s="196">
        <f>1.96*'Coral growth rates and density'!N88</f>
        <v>0.10794838272680757</v>
      </c>
      <c r="H29" s="197"/>
      <c r="I29" s="273"/>
      <c r="J29" s="274"/>
      <c r="K29" s="260"/>
    </row>
    <row r="30" spans="1:17" x14ac:dyDescent="0.35">
      <c r="A30" s="188" t="s">
        <v>865</v>
      </c>
      <c r="B30" s="206" t="s">
        <v>866</v>
      </c>
      <c r="C30" s="188" t="s">
        <v>338</v>
      </c>
      <c r="D30" s="195">
        <f t="shared" ref="D30:F31" si="3">D12</f>
        <v>1.1068666666666667</v>
      </c>
      <c r="E30" s="196">
        <f t="shared" ref="E30" si="4">E12</f>
        <v>0.11630500465777238</v>
      </c>
      <c r="F30" s="196">
        <f t="shared" si="3"/>
        <v>1.2004636652361285</v>
      </c>
      <c r="G30" s="196">
        <f t="shared" ref="G30" si="5">G12</f>
        <v>8.9478605771911329E-2</v>
      </c>
      <c r="H30" s="201"/>
      <c r="I30" s="271" t="s">
        <v>849</v>
      </c>
      <c r="J30" s="272" t="s">
        <v>849</v>
      </c>
      <c r="K30" s="260"/>
    </row>
    <row r="31" spans="1:17" x14ac:dyDescent="0.35">
      <c r="A31" s="188" t="s">
        <v>867</v>
      </c>
      <c r="B31" s="206" t="s">
        <v>866</v>
      </c>
      <c r="C31" s="188" t="s">
        <v>20</v>
      </c>
      <c r="D31" s="195">
        <f t="shared" si="3"/>
        <v>1.2406808404987837</v>
      </c>
      <c r="E31" s="196">
        <f t="shared" ref="E31" si="6">E13</f>
        <v>0.23356698971471701</v>
      </c>
      <c r="F31" s="196">
        <f t="shared" si="3"/>
        <v>1.4628419045982679</v>
      </c>
      <c r="G31" s="196">
        <f t="shared" ref="G31" si="7">G13</f>
        <v>0.16795432994976825</v>
      </c>
      <c r="H31" s="201"/>
      <c r="I31" s="271" t="s">
        <v>850</v>
      </c>
      <c r="J31" s="272" t="s">
        <v>850</v>
      </c>
      <c r="K31" s="260"/>
    </row>
    <row r="32" spans="1:17" x14ac:dyDescent="0.35">
      <c r="A32" s="188" t="s">
        <v>868</v>
      </c>
      <c r="B32" s="206" t="s">
        <v>866</v>
      </c>
      <c r="C32" s="188" t="s">
        <v>82</v>
      </c>
      <c r="D32" s="195">
        <f>D15</f>
        <v>0.90692311241565837</v>
      </c>
      <c r="E32" s="196">
        <f>E15</f>
        <v>0.19328579499248366</v>
      </c>
      <c r="F32" s="196">
        <f>F15</f>
        <v>1.2004636652361285</v>
      </c>
      <c r="G32" s="196">
        <f>G15</f>
        <v>8.9478605771911329E-2</v>
      </c>
      <c r="H32" s="201"/>
      <c r="I32" s="271" t="s">
        <v>852</v>
      </c>
      <c r="J32" s="272" t="s">
        <v>852</v>
      </c>
      <c r="K32" s="260"/>
    </row>
    <row r="33" spans="1:11" x14ac:dyDescent="0.35">
      <c r="A33" s="188" t="s">
        <v>1409</v>
      </c>
      <c r="B33" s="206" t="s">
        <v>866</v>
      </c>
      <c r="C33" s="188" t="s">
        <v>34</v>
      </c>
      <c r="D33" s="195">
        <f>D17</f>
        <v>1.7212028571428573</v>
      </c>
      <c r="E33" s="196">
        <f>E17</f>
        <v>1.1329047148307578</v>
      </c>
      <c r="F33" s="196">
        <f>F17</f>
        <v>1.2596838091965361</v>
      </c>
      <c r="G33" s="196">
        <f>G17</f>
        <v>0.1521661074316065</v>
      </c>
      <c r="H33" s="201"/>
      <c r="I33" s="271" t="s">
        <v>854</v>
      </c>
      <c r="J33" s="272" t="s">
        <v>854</v>
      </c>
      <c r="K33" s="260"/>
    </row>
    <row r="34" spans="1:11" x14ac:dyDescent="0.35">
      <c r="A34" s="207" t="s">
        <v>1625</v>
      </c>
      <c r="B34" s="208" t="s">
        <v>1626</v>
      </c>
      <c r="C34" s="207" t="s">
        <v>359</v>
      </c>
      <c r="D34" s="195">
        <f>D23</f>
        <v>5.0282</v>
      </c>
      <c r="E34" s="196">
        <f>E23</f>
        <v>1.220808212449443</v>
      </c>
      <c r="F34" s="196">
        <f t="shared" ref="F34" si="8">F23</f>
        <v>1.2150000000000001</v>
      </c>
      <c r="G34" s="196">
        <f t="shared" ref="G34" si="9">G23</f>
        <v>0.69579999999999942</v>
      </c>
      <c r="H34" s="201">
        <v>0.25600000000000001</v>
      </c>
      <c r="I34" s="271" t="s">
        <v>859</v>
      </c>
      <c r="J34" s="272" t="s">
        <v>859</v>
      </c>
      <c r="K34" s="262"/>
    </row>
    <row r="35" spans="1:11" x14ac:dyDescent="0.35">
      <c r="A35" s="188" t="s">
        <v>1199</v>
      </c>
      <c r="B35" s="206" t="s">
        <v>559</v>
      </c>
      <c r="C35" s="188" t="s">
        <v>338</v>
      </c>
      <c r="D35" s="195">
        <f>D37</f>
        <v>0.26</v>
      </c>
      <c r="E35" s="196">
        <f>E37</f>
        <v>1.9600000000000017E-2</v>
      </c>
      <c r="F35" s="196">
        <f>F12</f>
        <v>1.2004636652361285</v>
      </c>
      <c r="G35" s="196">
        <f>G12</f>
        <v>8.9478605771911329E-2</v>
      </c>
      <c r="H35" s="201"/>
      <c r="I35" s="271" t="s">
        <v>872</v>
      </c>
      <c r="J35" s="272" t="s">
        <v>849</v>
      </c>
      <c r="K35" s="262" t="s">
        <v>1783</v>
      </c>
    </row>
    <row r="36" spans="1:11" x14ac:dyDescent="0.35">
      <c r="A36" s="188" t="s">
        <v>871</v>
      </c>
      <c r="B36" s="206" t="s">
        <v>559</v>
      </c>
      <c r="C36" s="188" t="s">
        <v>20</v>
      </c>
      <c r="D36" s="195">
        <f>'Coral growth rates and density'!I91</f>
        <v>1.2558853859060402</v>
      </c>
      <c r="E36" s="196">
        <f>1.96*'Coral growth rates and density'!J91</f>
        <v>0.1332204436241613</v>
      </c>
      <c r="F36" s="196">
        <f>F13</f>
        <v>1.4628419045982679</v>
      </c>
      <c r="G36" s="196">
        <f>G13</f>
        <v>0.16795432994976825</v>
      </c>
      <c r="H36" s="201"/>
      <c r="I36" s="271"/>
      <c r="J36" s="272" t="s">
        <v>850</v>
      </c>
      <c r="K36" s="262" t="s">
        <v>1783</v>
      </c>
    </row>
    <row r="37" spans="1:11" x14ac:dyDescent="0.35">
      <c r="A37" s="188" t="s">
        <v>872</v>
      </c>
      <c r="B37" s="206" t="s">
        <v>559</v>
      </c>
      <c r="C37" s="188" t="s">
        <v>82</v>
      </c>
      <c r="D37" s="195">
        <f>'Coral growth rates and density'!I94</f>
        <v>0.26</v>
      </c>
      <c r="E37" s="196">
        <f>1.96*'Coral growth rates and density'!J94</f>
        <v>1.9600000000000017E-2</v>
      </c>
      <c r="F37" s="196">
        <f>F15</f>
        <v>1.2004636652361285</v>
      </c>
      <c r="G37" s="196">
        <f>G15</f>
        <v>8.9478605771911329E-2</v>
      </c>
      <c r="H37" s="197"/>
      <c r="I37" s="273"/>
      <c r="J37" s="274" t="s">
        <v>852</v>
      </c>
      <c r="K37" s="262" t="s">
        <v>1783</v>
      </c>
    </row>
    <row r="38" spans="1:11" x14ac:dyDescent="0.35">
      <c r="A38" s="188" t="s">
        <v>1200</v>
      </c>
      <c r="B38" s="206" t="s">
        <v>559</v>
      </c>
      <c r="C38" s="188" t="s">
        <v>34</v>
      </c>
      <c r="D38" s="195">
        <f>D37</f>
        <v>0.26</v>
      </c>
      <c r="E38" s="196">
        <f>E37</f>
        <v>1.9600000000000017E-2</v>
      </c>
      <c r="F38" s="196">
        <f>F17</f>
        <v>1.2596838091965361</v>
      </c>
      <c r="G38" s="196">
        <f>G17</f>
        <v>0.1521661074316065</v>
      </c>
      <c r="H38" s="197"/>
      <c r="I38" s="271" t="s">
        <v>872</v>
      </c>
      <c r="J38" s="272" t="s">
        <v>854</v>
      </c>
      <c r="K38" s="262" t="s">
        <v>1783</v>
      </c>
    </row>
    <row r="39" spans="1:11" x14ac:dyDescent="0.35">
      <c r="A39" s="188" t="s">
        <v>1410</v>
      </c>
      <c r="B39" s="188" t="s">
        <v>1411</v>
      </c>
      <c r="C39" s="188" t="s">
        <v>1318</v>
      </c>
      <c r="D39" s="202"/>
      <c r="E39" s="203"/>
      <c r="F39" s="203"/>
      <c r="G39" s="203"/>
      <c r="H39" s="209"/>
      <c r="I39" s="271"/>
      <c r="J39" s="272"/>
      <c r="K39" s="262"/>
    </row>
    <row r="40" spans="1:11" x14ac:dyDescent="0.35">
      <c r="A40" s="188" t="s">
        <v>1412</v>
      </c>
      <c r="B40" s="188" t="s">
        <v>1413</v>
      </c>
      <c r="C40" s="188" t="s">
        <v>1318</v>
      </c>
      <c r="D40" s="202"/>
      <c r="E40" s="203"/>
      <c r="F40" s="203"/>
      <c r="G40" s="203"/>
      <c r="H40" s="209"/>
      <c r="I40" s="271"/>
      <c r="J40" s="272"/>
      <c r="K40" s="262"/>
    </row>
    <row r="41" spans="1:11" x14ac:dyDescent="0.35">
      <c r="A41" s="188" t="s">
        <v>869</v>
      </c>
      <c r="B41" s="206" t="s">
        <v>670</v>
      </c>
      <c r="C41" s="188" t="s">
        <v>20</v>
      </c>
      <c r="D41" s="195">
        <f>D42</f>
        <v>0.83630442896073331</v>
      </c>
      <c r="E41" s="196">
        <f>E42</f>
        <v>0.42457351520464953</v>
      </c>
      <c r="F41" s="196">
        <f t="shared" ref="F41:G41" si="10">F42</f>
        <v>1.155</v>
      </c>
      <c r="G41" s="196">
        <f t="shared" si="10"/>
        <v>0.63699999999999957</v>
      </c>
      <c r="H41" s="197"/>
      <c r="I41" s="273" t="s">
        <v>870</v>
      </c>
      <c r="J41" s="274" t="s">
        <v>870</v>
      </c>
      <c r="K41" s="260"/>
    </row>
    <row r="42" spans="1:11" ht="15.75" customHeight="1" x14ac:dyDescent="0.35">
      <c r="A42" s="188" t="s">
        <v>870</v>
      </c>
      <c r="B42" s="206" t="s">
        <v>670</v>
      </c>
      <c r="C42" s="188" t="s">
        <v>82</v>
      </c>
      <c r="D42" s="195">
        <f>'Coral growth rates and density'!I99</f>
        <v>0.83630442896073331</v>
      </c>
      <c r="E42" s="196">
        <f>1.96*'Coral growth rates and density'!J99</f>
        <v>0.42457351520464953</v>
      </c>
      <c r="F42" s="196">
        <f>'Coral growth rates and density'!M99</f>
        <v>1.155</v>
      </c>
      <c r="G42" s="196">
        <f>1.96*'Coral growth rates and density'!N99</f>
        <v>0.63699999999999957</v>
      </c>
      <c r="H42" s="197"/>
      <c r="I42" s="273"/>
      <c r="J42" s="274"/>
      <c r="K42" s="260"/>
    </row>
    <row r="43" spans="1:11" ht="15.75" customHeight="1" x14ac:dyDescent="0.35">
      <c r="A43" s="207" t="s">
        <v>1627</v>
      </c>
      <c r="B43" s="208" t="s">
        <v>1628</v>
      </c>
      <c r="C43" s="207" t="s">
        <v>359</v>
      </c>
      <c r="D43" s="195">
        <f>D121</f>
        <v>0.93249999999999988</v>
      </c>
      <c r="E43" s="196">
        <f>E121</f>
        <v>0.27930000000000027</v>
      </c>
      <c r="F43" s="196">
        <f t="shared" ref="F43" si="11">F121</f>
        <v>1.38</v>
      </c>
      <c r="G43" s="196">
        <f t="shared" ref="G43" si="12">G121</f>
        <v>0</v>
      </c>
      <c r="H43" s="201">
        <v>0.33800000000000002</v>
      </c>
      <c r="I43" s="273" t="s">
        <v>924</v>
      </c>
      <c r="J43" s="274" t="s">
        <v>924</v>
      </c>
      <c r="K43" s="262" t="s">
        <v>1804</v>
      </c>
    </row>
    <row r="44" spans="1:11" ht="15.75" customHeight="1" x14ac:dyDescent="0.35">
      <c r="A44" s="207" t="s">
        <v>1629</v>
      </c>
      <c r="B44" s="208" t="s">
        <v>1728</v>
      </c>
      <c r="C44" s="207" t="s">
        <v>82</v>
      </c>
      <c r="D44" s="195">
        <f>D144</f>
        <v>1.0231704741233698</v>
      </c>
      <c r="E44" s="196">
        <f>E144</f>
        <v>0.43478057324390612</v>
      </c>
      <c r="F44" s="196">
        <f t="shared" ref="F44" si="13">F144</f>
        <v>1.1283614541628804</v>
      </c>
      <c r="G44" s="196">
        <f t="shared" ref="G44" si="14">G144</f>
        <v>0.11867547841216843</v>
      </c>
      <c r="H44" s="197"/>
      <c r="I44" s="273" t="s">
        <v>939</v>
      </c>
      <c r="J44" s="274" t="s">
        <v>939</v>
      </c>
      <c r="K44" s="262" t="s">
        <v>1784</v>
      </c>
    </row>
    <row r="45" spans="1:11" ht="15.75" customHeight="1" x14ac:dyDescent="0.35">
      <c r="A45" s="207" t="s">
        <v>1787</v>
      </c>
      <c r="B45" s="208" t="s">
        <v>1631</v>
      </c>
      <c r="C45" s="207" t="s">
        <v>20</v>
      </c>
      <c r="D45" s="195">
        <f>D13</f>
        <v>1.2406808404987837</v>
      </c>
      <c r="E45" s="196">
        <f>E13</f>
        <v>0.23356698971471701</v>
      </c>
      <c r="F45" s="196">
        <f t="shared" ref="F45" si="15">F13</f>
        <v>1.4628419045982679</v>
      </c>
      <c r="G45" s="196">
        <f t="shared" ref="G45" si="16">G13</f>
        <v>0.16795432994976825</v>
      </c>
      <c r="H45" s="197"/>
      <c r="I45" s="273" t="s">
        <v>850</v>
      </c>
      <c r="J45" s="274" t="s">
        <v>850</v>
      </c>
      <c r="K45" s="262"/>
    </row>
    <row r="46" spans="1:11" ht="15.75" customHeight="1" x14ac:dyDescent="0.35">
      <c r="A46" s="207" t="s">
        <v>1630</v>
      </c>
      <c r="B46" s="208" t="s">
        <v>1631</v>
      </c>
      <c r="C46" s="207" t="s">
        <v>34</v>
      </c>
      <c r="D46" s="195">
        <f>D17</f>
        <v>1.7212028571428573</v>
      </c>
      <c r="E46" s="196">
        <f>E17</f>
        <v>1.1329047148307578</v>
      </c>
      <c r="F46" s="196">
        <f t="shared" ref="F46" si="17">F17</f>
        <v>1.2596838091965361</v>
      </c>
      <c r="G46" s="196">
        <f t="shared" ref="G46" si="18">G17</f>
        <v>0.1521661074316065</v>
      </c>
      <c r="H46" s="197"/>
      <c r="I46" s="273" t="s">
        <v>854</v>
      </c>
      <c r="J46" s="274" t="s">
        <v>854</v>
      </c>
      <c r="K46" s="262"/>
    </row>
    <row r="47" spans="1:11" ht="15.75" customHeight="1" x14ac:dyDescent="0.35">
      <c r="A47" s="188" t="s">
        <v>1414</v>
      </c>
      <c r="B47" s="188" t="s">
        <v>1415</v>
      </c>
      <c r="C47" s="188" t="s">
        <v>1318</v>
      </c>
      <c r="D47" s="202"/>
      <c r="E47" s="203"/>
      <c r="F47" s="203"/>
      <c r="G47" s="203"/>
      <c r="H47" s="209"/>
      <c r="I47" s="273"/>
      <c r="J47" s="274"/>
      <c r="K47" s="260"/>
    </row>
    <row r="48" spans="1:11" ht="15.75" customHeight="1" x14ac:dyDescent="0.35">
      <c r="A48" s="207" t="s">
        <v>1729</v>
      </c>
      <c r="B48" s="208" t="s">
        <v>1632</v>
      </c>
      <c r="C48" s="207" t="s">
        <v>883</v>
      </c>
      <c r="D48" s="195">
        <f>D95</f>
        <v>0.91899999999999993</v>
      </c>
      <c r="E48" s="196">
        <f>E95</f>
        <v>0.31802572893818931</v>
      </c>
      <c r="F48" s="196">
        <f>F95</f>
        <v>1.99</v>
      </c>
      <c r="G48" s="196">
        <f>G95</f>
        <v>0</v>
      </c>
      <c r="H48" s="197"/>
      <c r="I48" s="271" t="s">
        <v>1141</v>
      </c>
      <c r="J48" s="272" t="s">
        <v>1141</v>
      </c>
      <c r="K48" s="260" t="s">
        <v>1744</v>
      </c>
    </row>
    <row r="49" spans="1:11" ht="15.75" customHeight="1" x14ac:dyDescent="0.35">
      <c r="A49" s="207" t="s">
        <v>1818</v>
      </c>
      <c r="B49" s="208" t="s">
        <v>1633</v>
      </c>
      <c r="C49" s="207" t="s">
        <v>883</v>
      </c>
      <c r="D49" s="195">
        <f>D95</f>
        <v>0.91899999999999993</v>
      </c>
      <c r="E49" s="196">
        <f>E95</f>
        <v>0.31802572893818931</v>
      </c>
      <c r="F49" s="196">
        <f t="shared" ref="F49" si="19">F95</f>
        <v>1.99</v>
      </c>
      <c r="G49" s="196">
        <f t="shared" ref="G49" si="20">G95</f>
        <v>0</v>
      </c>
      <c r="H49" s="197"/>
      <c r="I49" s="271" t="s">
        <v>1141</v>
      </c>
      <c r="J49" s="272" t="s">
        <v>1141</v>
      </c>
      <c r="K49" s="260" t="s">
        <v>1744</v>
      </c>
    </row>
    <row r="50" spans="1:11" x14ac:dyDescent="0.35">
      <c r="A50" s="188" t="s">
        <v>873</v>
      </c>
      <c r="B50" s="206" t="s">
        <v>874</v>
      </c>
      <c r="C50" s="188" t="s">
        <v>359</v>
      </c>
      <c r="D50" s="210">
        <f>D144</f>
        <v>1.0231704741233698</v>
      </c>
      <c r="E50" s="200">
        <f>E144</f>
        <v>0.43478057324390612</v>
      </c>
      <c r="F50" s="200">
        <f>F51</f>
        <v>1.1100000000000001</v>
      </c>
      <c r="G50" s="200">
        <f>G51</f>
        <v>6.8599999999999842E-2</v>
      </c>
      <c r="H50" s="201">
        <v>0.33800000000000002</v>
      </c>
      <c r="I50" s="275" t="s">
        <v>939</v>
      </c>
      <c r="J50" s="276" t="s">
        <v>875</v>
      </c>
      <c r="K50" s="262" t="s">
        <v>1828</v>
      </c>
    </row>
    <row r="51" spans="1:11" x14ac:dyDescent="0.35">
      <c r="A51" s="188" t="s">
        <v>875</v>
      </c>
      <c r="B51" s="206" t="s">
        <v>874</v>
      </c>
      <c r="C51" s="188" t="s">
        <v>82</v>
      </c>
      <c r="D51" s="195">
        <f>D144</f>
        <v>1.0231704741233698</v>
      </c>
      <c r="E51" s="196">
        <f>E144</f>
        <v>0.43478057324390612</v>
      </c>
      <c r="F51" s="196">
        <f>'Coral growth rates and density'!M101</f>
        <v>1.1100000000000001</v>
      </c>
      <c r="G51" s="196">
        <f>1.96*'Coral growth rates and density'!N101</f>
        <v>6.8599999999999842E-2</v>
      </c>
      <c r="H51" s="197"/>
      <c r="I51" s="275" t="s">
        <v>939</v>
      </c>
      <c r="J51" s="272"/>
      <c r="K51" s="262" t="s">
        <v>1829</v>
      </c>
    </row>
    <row r="52" spans="1:11" x14ac:dyDescent="0.35">
      <c r="A52" s="188" t="s">
        <v>810</v>
      </c>
      <c r="B52" s="188" t="s">
        <v>1416</v>
      </c>
      <c r="C52" s="188" t="s">
        <v>810</v>
      </c>
      <c r="D52" s="210">
        <f>'CCA calcification rates'!H34</f>
        <v>3.9577149122807027E-2</v>
      </c>
      <c r="E52" s="196">
        <f>'CCA calcification rates'!K34</f>
        <v>1.7191643133031557E-2</v>
      </c>
      <c r="F52" s="200"/>
      <c r="G52" s="200"/>
      <c r="H52" s="201"/>
      <c r="I52" s="271"/>
      <c r="J52" s="272"/>
      <c r="K52" s="262" t="s">
        <v>1844</v>
      </c>
    </row>
    <row r="53" spans="1:11" x14ac:dyDescent="0.35">
      <c r="A53" s="188" t="s">
        <v>1417</v>
      </c>
      <c r="B53" s="188" t="s">
        <v>1418</v>
      </c>
      <c r="C53" s="188" t="s">
        <v>1318</v>
      </c>
      <c r="D53" s="202"/>
      <c r="E53" s="203"/>
      <c r="F53" s="203"/>
      <c r="G53" s="203"/>
      <c r="H53" s="209"/>
      <c r="I53" s="271"/>
      <c r="J53" s="272"/>
      <c r="K53" s="262"/>
    </row>
    <row r="54" spans="1:11" x14ac:dyDescent="0.35">
      <c r="A54" s="207" t="s">
        <v>1634</v>
      </c>
      <c r="B54" s="208" t="s">
        <v>1497</v>
      </c>
      <c r="C54" s="207" t="s">
        <v>82</v>
      </c>
      <c r="D54" s="210">
        <f>D104</f>
        <v>0.63924242424242428</v>
      </c>
      <c r="E54" s="200">
        <f>E104</f>
        <v>0.15486854382324386</v>
      </c>
      <c r="F54" s="200">
        <f>'Coral growth rates and density'!M103</f>
        <v>1.35</v>
      </c>
      <c r="G54" s="200">
        <f>1.96*'Coral growth rates and density'!N103</f>
        <v>0</v>
      </c>
      <c r="H54" s="201"/>
      <c r="I54" s="271" t="s">
        <v>916</v>
      </c>
      <c r="J54" s="272"/>
      <c r="K54" s="262" t="s">
        <v>1805</v>
      </c>
    </row>
    <row r="55" spans="1:11" x14ac:dyDescent="0.35">
      <c r="A55" s="207" t="s">
        <v>1635</v>
      </c>
      <c r="B55" s="208" t="s">
        <v>1636</v>
      </c>
      <c r="C55" s="207" t="s">
        <v>82</v>
      </c>
      <c r="D55" s="210">
        <f>D15</f>
        <v>0.90692311241565837</v>
      </c>
      <c r="E55" s="200">
        <f>E15</f>
        <v>0.19328579499248366</v>
      </c>
      <c r="F55" s="200">
        <f>F15</f>
        <v>1.2004636652361285</v>
      </c>
      <c r="G55" s="200">
        <f>G15</f>
        <v>8.9478605771911329E-2</v>
      </c>
      <c r="H55" s="201"/>
      <c r="I55" s="271" t="s">
        <v>852</v>
      </c>
      <c r="J55" s="272" t="s">
        <v>852</v>
      </c>
      <c r="K55" s="262"/>
    </row>
    <row r="56" spans="1:11" x14ac:dyDescent="0.35">
      <c r="A56" s="188" t="s">
        <v>876</v>
      </c>
      <c r="B56" s="206" t="s">
        <v>877</v>
      </c>
      <c r="C56" s="188" t="s">
        <v>338</v>
      </c>
      <c r="D56" s="195">
        <f>D12</f>
        <v>1.1068666666666667</v>
      </c>
      <c r="E56" s="196">
        <f>E12</f>
        <v>0.11630500465777238</v>
      </c>
      <c r="F56" s="196">
        <f>F58</f>
        <v>1.41</v>
      </c>
      <c r="G56" s="196">
        <f>G58</f>
        <v>7.8400000000000067E-2</v>
      </c>
      <c r="H56" s="201"/>
      <c r="I56" s="271" t="s">
        <v>849</v>
      </c>
      <c r="J56" s="272" t="s">
        <v>879</v>
      </c>
      <c r="K56" s="263"/>
    </row>
    <row r="57" spans="1:11" x14ac:dyDescent="0.35">
      <c r="A57" s="188" t="s">
        <v>878</v>
      </c>
      <c r="B57" s="206" t="s">
        <v>877</v>
      </c>
      <c r="C57" s="188" t="s">
        <v>20</v>
      </c>
      <c r="D57" s="195">
        <f>D13</f>
        <v>1.2406808404987837</v>
      </c>
      <c r="E57" s="196">
        <f>E13</f>
        <v>0.23356698971471701</v>
      </c>
      <c r="F57" s="196">
        <f>F58</f>
        <v>1.41</v>
      </c>
      <c r="G57" s="196">
        <f>G58</f>
        <v>7.8400000000000067E-2</v>
      </c>
      <c r="H57" s="197"/>
      <c r="I57" s="271" t="s">
        <v>850</v>
      </c>
      <c r="J57" s="272" t="s">
        <v>879</v>
      </c>
      <c r="K57" s="264"/>
    </row>
    <row r="58" spans="1:11" x14ac:dyDescent="0.35">
      <c r="A58" s="188" t="s">
        <v>879</v>
      </c>
      <c r="B58" s="206" t="s">
        <v>877</v>
      </c>
      <c r="C58" s="188" t="s">
        <v>82</v>
      </c>
      <c r="D58" s="195">
        <f t="shared" ref="D58:D60" si="21">D15</f>
        <v>0.90692311241565837</v>
      </c>
      <c r="E58" s="196">
        <f t="shared" ref="E58" si="22">E15</f>
        <v>0.19328579499248366</v>
      </c>
      <c r="F58" s="196">
        <f>'Coral growth rates and density'!M105</f>
        <v>1.41</v>
      </c>
      <c r="G58" s="196">
        <f>1.96*'Coral growth rates and density'!N105</f>
        <v>7.8400000000000067E-2</v>
      </c>
      <c r="H58" s="197"/>
      <c r="I58" s="271" t="s">
        <v>852</v>
      </c>
      <c r="J58" s="272"/>
      <c r="K58" s="264"/>
    </row>
    <row r="59" spans="1:11" x14ac:dyDescent="0.35">
      <c r="A59" s="188" t="s">
        <v>880</v>
      </c>
      <c r="B59" s="206" t="s">
        <v>877</v>
      </c>
      <c r="C59" s="188" t="s">
        <v>508</v>
      </c>
      <c r="D59" s="195">
        <f t="shared" si="21"/>
        <v>2.2966219024782268</v>
      </c>
      <c r="E59" s="196">
        <f t="shared" ref="E59" si="23">E16</f>
        <v>0.41422715045645991</v>
      </c>
      <c r="F59" s="196">
        <f>F58</f>
        <v>1.41</v>
      </c>
      <c r="G59" s="196">
        <f>G58</f>
        <v>7.8400000000000067E-2</v>
      </c>
      <c r="H59" s="197"/>
      <c r="I59" s="271" t="s">
        <v>853</v>
      </c>
      <c r="J59" s="272" t="s">
        <v>879</v>
      </c>
      <c r="K59" s="264"/>
    </row>
    <row r="60" spans="1:11" x14ac:dyDescent="0.35">
      <c r="A60" s="188" t="s">
        <v>881</v>
      </c>
      <c r="B60" s="206" t="s">
        <v>877</v>
      </c>
      <c r="C60" s="188" t="s">
        <v>34</v>
      </c>
      <c r="D60" s="195">
        <f t="shared" si="21"/>
        <v>1.7212028571428573</v>
      </c>
      <c r="E60" s="196">
        <f t="shared" ref="E60" si="24">E17</f>
        <v>1.1329047148307578</v>
      </c>
      <c r="F60" s="196">
        <f>F58</f>
        <v>1.41</v>
      </c>
      <c r="G60" s="196">
        <f>G58</f>
        <v>7.8400000000000067E-2</v>
      </c>
      <c r="H60" s="197"/>
      <c r="I60" s="271" t="s">
        <v>854</v>
      </c>
      <c r="J60" s="272" t="s">
        <v>879</v>
      </c>
      <c r="K60" s="264"/>
    </row>
    <row r="61" spans="1:11" x14ac:dyDescent="0.35">
      <c r="A61" s="188" t="s">
        <v>1028</v>
      </c>
      <c r="B61" s="206" t="s">
        <v>882</v>
      </c>
      <c r="C61" s="188" t="s">
        <v>883</v>
      </c>
      <c r="D61" s="195">
        <f>'Coral growth rates and density'!I171</f>
        <v>0.91899999999999993</v>
      </c>
      <c r="E61" s="196">
        <f>1.96*'Coral growth rates and density'!J171</f>
        <v>0.31802572893818931</v>
      </c>
      <c r="F61" s="196">
        <f>'Coral growth rates and density'!M171</f>
        <v>1.99</v>
      </c>
      <c r="G61" s="196">
        <f>1.96*'Coral growth rates and density'!N171</f>
        <v>0</v>
      </c>
      <c r="H61" s="197"/>
      <c r="I61" s="271" t="s">
        <v>1141</v>
      </c>
      <c r="J61" s="272" t="s">
        <v>1141</v>
      </c>
      <c r="K61" s="260" t="s">
        <v>1207</v>
      </c>
    </row>
    <row r="62" spans="1:11" x14ac:dyDescent="0.35">
      <c r="A62" s="188" t="s">
        <v>1419</v>
      </c>
      <c r="B62" s="188" t="s">
        <v>1420</v>
      </c>
      <c r="C62" s="188" t="s">
        <v>1318</v>
      </c>
      <c r="D62" s="202"/>
      <c r="E62" s="203"/>
      <c r="F62" s="203"/>
      <c r="G62" s="203"/>
      <c r="H62" s="209"/>
      <c r="I62" s="271"/>
      <c r="J62" s="272"/>
      <c r="K62" s="260"/>
    </row>
    <row r="63" spans="1:11" x14ac:dyDescent="0.35">
      <c r="A63" s="188" t="s">
        <v>1029</v>
      </c>
      <c r="B63" s="206" t="s">
        <v>884</v>
      </c>
      <c r="C63" s="188" t="s">
        <v>883</v>
      </c>
      <c r="D63" s="195">
        <f>'Coral growth rates and density'!I171</f>
        <v>0.91899999999999993</v>
      </c>
      <c r="E63" s="196">
        <f>1.96*'Coral growth rates and density'!J171</f>
        <v>0.31802572893818931</v>
      </c>
      <c r="F63" s="196">
        <f>'Coral growth rates and density'!M171</f>
        <v>1.99</v>
      </c>
      <c r="G63" s="196">
        <f>1.96*'Coral growth rates and density'!N171</f>
        <v>0</v>
      </c>
      <c r="H63" s="197"/>
      <c r="I63" s="271" t="s">
        <v>1141</v>
      </c>
      <c r="J63" s="272" t="s">
        <v>1141</v>
      </c>
      <c r="K63" s="260" t="s">
        <v>1207</v>
      </c>
    </row>
    <row r="64" spans="1:11" x14ac:dyDescent="0.35">
      <c r="A64" s="207" t="s">
        <v>1637</v>
      </c>
      <c r="B64" s="208" t="s">
        <v>1638</v>
      </c>
      <c r="C64" s="207" t="s">
        <v>883</v>
      </c>
      <c r="D64" s="195">
        <f>D95</f>
        <v>0.91899999999999993</v>
      </c>
      <c r="E64" s="196">
        <f>E95</f>
        <v>0.31802572893818931</v>
      </c>
      <c r="F64" s="196">
        <f t="shared" ref="F64" si="25">F95</f>
        <v>1.99</v>
      </c>
      <c r="G64" s="196">
        <f t="shared" ref="G64" si="26">G95</f>
        <v>0</v>
      </c>
      <c r="H64" s="197"/>
      <c r="I64" s="271" t="s">
        <v>1141</v>
      </c>
      <c r="J64" s="272" t="s">
        <v>1141</v>
      </c>
      <c r="K64" s="260" t="s">
        <v>1744</v>
      </c>
    </row>
    <row r="65" spans="1:11" x14ac:dyDescent="0.35">
      <c r="A65" s="188" t="s">
        <v>885</v>
      </c>
      <c r="B65" s="206" t="s">
        <v>552</v>
      </c>
      <c r="C65" s="188" t="s">
        <v>338</v>
      </c>
      <c r="D65" s="195">
        <f>D67</f>
        <v>0.49000000000000005</v>
      </c>
      <c r="E65" s="196">
        <f>E67</f>
        <v>0.2558031534859046</v>
      </c>
      <c r="F65" s="196">
        <f>F67</f>
        <v>1.131900858968971</v>
      </c>
      <c r="G65" s="196">
        <f>G67</f>
        <v>0.23605955456746841</v>
      </c>
      <c r="H65" s="201"/>
      <c r="I65" s="271" t="s">
        <v>887</v>
      </c>
      <c r="J65" s="272" t="s">
        <v>887</v>
      </c>
      <c r="K65" s="264"/>
    </row>
    <row r="66" spans="1:11" x14ac:dyDescent="0.35">
      <c r="A66" s="188" t="s">
        <v>886</v>
      </c>
      <c r="B66" s="206" t="s">
        <v>552</v>
      </c>
      <c r="C66" s="188" t="s">
        <v>20</v>
      </c>
      <c r="D66" s="195">
        <f>'Coral growth rates and density'!I110</f>
        <v>1.4487437919463084</v>
      </c>
      <c r="E66" s="196">
        <f>1.96*'Coral growth rates and density'!J110</f>
        <v>1.2936E-2</v>
      </c>
      <c r="F66" s="196">
        <f>F67</f>
        <v>1.131900858968971</v>
      </c>
      <c r="G66" s="196">
        <f>G67</f>
        <v>0.23605955456746841</v>
      </c>
      <c r="H66" s="197"/>
      <c r="I66" s="273"/>
      <c r="J66" s="274" t="s">
        <v>887</v>
      </c>
      <c r="K66" s="260"/>
    </row>
    <row r="67" spans="1:11" x14ac:dyDescent="0.35">
      <c r="A67" s="188" t="s">
        <v>887</v>
      </c>
      <c r="B67" s="206" t="s">
        <v>552</v>
      </c>
      <c r="C67" s="188" t="s">
        <v>82</v>
      </c>
      <c r="D67" s="195">
        <f>'Coral growth rates and density'!I120</f>
        <v>0.49000000000000005</v>
      </c>
      <c r="E67" s="196">
        <f>1.96*'Coral growth rates and density'!J120</f>
        <v>0.2558031534859046</v>
      </c>
      <c r="F67" s="196">
        <f>'Coral growth rates and density'!M120</f>
        <v>1.131900858968971</v>
      </c>
      <c r="G67" s="196">
        <f>1.96*'Coral growth rates and density'!N120</f>
        <v>0.23605955456746841</v>
      </c>
      <c r="H67" s="197"/>
      <c r="I67" s="273"/>
      <c r="J67" s="274"/>
      <c r="K67" s="260"/>
    </row>
    <row r="68" spans="1:11" x14ac:dyDescent="0.35">
      <c r="A68" s="188" t="s">
        <v>888</v>
      </c>
      <c r="B68" s="206" t="s">
        <v>552</v>
      </c>
      <c r="C68" s="188" t="s">
        <v>34</v>
      </c>
      <c r="D68" s="195">
        <f>D67</f>
        <v>0.49000000000000005</v>
      </c>
      <c r="E68" s="196">
        <f>E67</f>
        <v>0.2558031534859046</v>
      </c>
      <c r="F68" s="196">
        <f>F67</f>
        <v>1.131900858968971</v>
      </c>
      <c r="G68" s="196">
        <f>G67</f>
        <v>0.23605955456746841</v>
      </c>
      <c r="H68" s="197"/>
      <c r="I68" s="273" t="s">
        <v>887</v>
      </c>
      <c r="J68" s="274" t="s">
        <v>887</v>
      </c>
      <c r="K68" s="260"/>
    </row>
    <row r="69" spans="1:11" x14ac:dyDescent="0.35">
      <c r="A69" s="207" t="s">
        <v>1639</v>
      </c>
      <c r="B69" s="208" t="s">
        <v>1640</v>
      </c>
      <c r="C69" s="207" t="s">
        <v>883</v>
      </c>
      <c r="D69" s="195">
        <f>D95</f>
        <v>0.91899999999999993</v>
      </c>
      <c r="E69" s="196">
        <f>E95</f>
        <v>0.31802572893818931</v>
      </c>
      <c r="F69" s="196">
        <f t="shared" ref="F69" si="27">F95</f>
        <v>1.99</v>
      </c>
      <c r="G69" s="196">
        <f t="shared" ref="G69" si="28">G95</f>
        <v>0</v>
      </c>
      <c r="H69" s="197"/>
      <c r="I69" s="273" t="s">
        <v>1141</v>
      </c>
      <c r="J69" s="274" t="s">
        <v>1141</v>
      </c>
      <c r="K69" s="260" t="s">
        <v>1207</v>
      </c>
    </row>
    <row r="70" spans="1:11" x14ac:dyDescent="0.35">
      <c r="A70" s="188" t="s">
        <v>1421</v>
      </c>
      <c r="B70" s="188" t="s">
        <v>1422</v>
      </c>
      <c r="C70" s="188" t="s">
        <v>1318</v>
      </c>
      <c r="D70" s="202"/>
      <c r="E70" s="203"/>
      <c r="F70" s="203"/>
      <c r="G70" s="203"/>
      <c r="H70" s="209"/>
      <c r="I70" s="273"/>
      <c r="J70" s="274"/>
      <c r="K70" s="260"/>
    </row>
    <row r="71" spans="1:11" x14ac:dyDescent="0.35">
      <c r="A71" s="188" t="s">
        <v>889</v>
      </c>
      <c r="B71" s="206" t="s">
        <v>591</v>
      </c>
      <c r="C71" s="188" t="s">
        <v>20</v>
      </c>
      <c r="D71" s="195">
        <f>D72</f>
        <v>0.45750000000000002</v>
      </c>
      <c r="E71" s="196">
        <f>E72</f>
        <v>0.36338271376974807</v>
      </c>
      <c r="F71" s="196">
        <f t="shared" ref="F71:G71" si="29">F72</f>
        <v>1.52</v>
      </c>
      <c r="G71" s="196">
        <f t="shared" si="29"/>
        <v>0.31684982773126624</v>
      </c>
      <c r="H71" s="197"/>
      <c r="I71" s="273" t="s">
        <v>890</v>
      </c>
      <c r="J71" s="274" t="s">
        <v>890</v>
      </c>
      <c r="K71" s="260"/>
    </row>
    <row r="72" spans="1:11" x14ac:dyDescent="0.35">
      <c r="A72" s="188" t="s">
        <v>890</v>
      </c>
      <c r="B72" s="206" t="s">
        <v>591</v>
      </c>
      <c r="C72" s="188" t="s">
        <v>82</v>
      </c>
      <c r="D72" s="195">
        <f>'Coral growth rates and density'!I126</f>
        <v>0.45750000000000002</v>
      </c>
      <c r="E72" s="196">
        <f>1.96*'Coral growth rates and density'!J126</f>
        <v>0.36338271376974807</v>
      </c>
      <c r="F72" s="196">
        <f>'Coral growth rates and density'!M126</f>
        <v>1.52</v>
      </c>
      <c r="G72" s="196">
        <f>1.96*'Coral growth rates and density'!N126</f>
        <v>0.31684982773126624</v>
      </c>
      <c r="H72" s="197"/>
      <c r="I72" s="273"/>
      <c r="J72" s="274"/>
      <c r="K72" s="260"/>
    </row>
    <row r="73" spans="1:11" x14ac:dyDescent="0.35">
      <c r="A73" s="207" t="s">
        <v>1745</v>
      </c>
      <c r="B73" s="208" t="s">
        <v>1507</v>
      </c>
      <c r="C73" s="207" t="s">
        <v>20</v>
      </c>
      <c r="D73" s="195">
        <f>D90</f>
        <v>0.65052379609773436</v>
      </c>
      <c r="E73" s="196">
        <f>E90</f>
        <v>0.13457923474721886</v>
      </c>
      <c r="F73" s="196">
        <f>F74</f>
        <v>1.0673659352098221</v>
      </c>
      <c r="G73" s="196">
        <f>G74</f>
        <v>0.15184662493647283</v>
      </c>
      <c r="H73" s="197"/>
      <c r="I73" s="273" t="s">
        <v>1641</v>
      </c>
      <c r="J73" s="274" t="s">
        <v>1641</v>
      </c>
      <c r="K73" s="262" t="s">
        <v>1806</v>
      </c>
    </row>
    <row r="74" spans="1:11" x14ac:dyDescent="0.35">
      <c r="A74" s="207" t="s">
        <v>1641</v>
      </c>
      <c r="B74" s="208" t="s">
        <v>1507</v>
      </c>
      <c r="C74" s="207" t="s">
        <v>82</v>
      </c>
      <c r="D74" s="195">
        <f>D90</f>
        <v>0.65052379609773436</v>
      </c>
      <c r="E74" s="196">
        <f>E90</f>
        <v>0.13457923474721886</v>
      </c>
      <c r="F74" s="196">
        <f>'Coral growth rates and density'!M142</f>
        <v>1.0673659352098221</v>
      </c>
      <c r="G74" s="196">
        <f>1.96*'Coral growth rates and density'!N142</f>
        <v>0.15184662493647283</v>
      </c>
      <c r="H74" s="197"/>
      <c r="I74" s="273"/>
      <c r="J74" s="274"/>
      <c r="K74" s="262" t="s">
        <v>1806</v>
      </c>
    </row>
    <row r="75" spans="1:11" x14ac:dyDescent="0.35">
      <c r="A75" s="207" t="s">
        <v>1819</v>
      </c>
      <c r="B75" s="208" t="s">
        <v>1642</v>
      </c>
      <c r="C75" s="207" t="s">
        <v>359</v>
      </c>
      <c r="D75" s="210">
        <f>D144</f>
        <v>1.0231704741233698</v>
      </c>
      <c r="E75" s="200">
        <f>E144</f>
        <v>0.43478057324390612</v>
      </c>
      <c r="F75" s="200">
        <f t="shared" ref="F75" si="30">F144</f>
        <v>1.1283614541628804</v>
      </c>
      <c r="G75" s="200">
        <f t="shared" ref="G75" si="31">G144</f>
        <v>0.11867547841216843</v>
      </c>
      <c r="H75" s="201">
        <v>0.33800000000000002</v>
      </c>
      <c r="I75" s="275" t="s">
        <v>939</v>
      </c>
      <c r="J75" s="276" t="s">
        <v>939</v>
      </c>
      <c r="K75" s="262" t="s">
        <v>1830</v>
      </c>
    </row>
    <row r="76" spans="1:11" x14ac:dyDescent="0.35">
      <c r="A76" s="207" t="s">
        <v>1831</v>
      </c>
      <c r="B76" s="208" t="s">
        <v>1642</v>
      </c>
      <c r="C76" s="207" t="s">
        <v>508</v>
      </c>
      <c r="D76" s="195">
        <f>D254</f>
        <v>1.9833333333333334</v>
      </c>
      <c r="E76" s="196">
        <f>E254</f>
        <v>1.4994676092237238</v>
      </c>
      <c r="F76" s="196">
        <f t="shared" ref="F76" si="32">F254</f>
        <v>1.2675000000000001</v>
      </c>
      <c r="G76" s="196">
        <f t="shared" ref="G76" si="33">G254</f>
        <v>9.8772786400573659E-2</v>
      </c>
      <c r="H76" s="197"/>
      <c r="I76" s="273" t="s">
        <v>1023</v>
      </c>
      <c r="J76" s="274" t="s">
        <v>1023</v>
      </c>
      <c r="K76" s="262" t="s">
        <v>1756</v>
      </c>
    </row>
    <row r="77" spans="1:11" x14ac:dyDescent="0.35">
      <c r="A77" s="207" t="s">
        <v>1748</v>
      </c>
      <c r="B77" s="208" t="s">
        <v>1643</v>
      </c>
      <c r="C77" s="207" t="s">
        <v>20</v>
      </c>
      <c r="D77" s="195">
        <f>D13</f>
        <v>1.2406808404987837</v>
      </c>
      <c r="E77" s="196">
        <f>E13</f>
        <v>0.23356698971471701</v>
      </c>
      <c r="F77" s="196">
        <f>F13</f>
        <v>1.4628419045982679</v>
      </c>
      <c r="G77" s="196">
        <f>G13</f>
        <v>0.16795432994976825</v>
      </c>
      <c r="H77" s="197"/>
      <c r="I77" s="273" t="s">
        <v>850</v>
      </c>
      <c r="J77" s="274" t="s">
        <v>850</v>
      </c>
      <c r="K77" s="262" t="s">
        <v>1747</v>
      </c>
    </row>
    <row r="78" spans="1:11" x14ac:dyDescent="0.35">
      <c r="A78" s="188" t="s">
        <v>891</v>
      </c>
      <c r="B78" s="206" t="s">
        <v>892</v>
      </c>
      <c r="C78" s="188" t="s">
        <v>20</v>
      </c>
      <c r="D78" s="195">
        <f t="shared" ref="D78:F79" si="34">D13</f>
        <v>1.2406808404987837</v>
      </c>
      <c r="E78" s="196">
        <f t="shared" ref="E78" si="35">E13</f>
        <v>0.23356698971471701</v>
      </c>
      <c r="F78" s="196">
        <f t="shared" si="34"/>
        <v>1.4628419045982679</v>
      </c>
      <c r="G78" s="196">
        <f t="shared" ref="G78" si="36">G13</f>
        <v>0.16795432994976825</v>
      </c>
      <c r="H78" s="197"/>
      <c r="I78" s="271" t="s">
        <v>850</v>
      </c>
      <c r="J78" s="272" t="s">
        <v>850</v>
      </c>
      <c r="K78" s="260"/>
    </row>
    <row r="79" spans="1:11" x14ac:dyDescent="0.35">
      <c r="A79" s="188" t="s">
        <v>893</v>
      </c>
      <c r="B79" s="206" t="s">
        <v>892</v>
      </c>
      <c r="C79" s="188" t="s">
        <v>609</v>
      </c>
      <c r="D79" s="195">
        <f t="shared" si="34"/>
        <v>2.2966219024782268</v>
      </c>
      <c r="E79" s="196">
        <f t="shared" ref="E79" si="37">E14</f>
        <v>0.41422715045645991</v>
      </c>
      <c r="F79" s="196">
        <f t="shared" si="34"/>
        <v>1.3963053641313035</v>
      </c>
      <c r="G79" s="196">
        <f t="shared" ref="G79" si="38">G14</f>
        <v>0.18318860373546536</v>
      </c>
      <c r="H79" s="197"/>
      <c r="I79" s="271" t="s">
        <v>851</v>
      </c>
      <c r="J79" s="272" t="s">
        <v>851</v>
      </c>
      <c r="K79" s="260"/>
    </row>
    <row r="80" spans="1:11" x14ac:dyDescent="0.35">
      <c r="A80" s="188" t="s">
        <v>894</v>
      </c>
      <c r="B80" s="206" t="s">
        <v>895</v>
      </c>
      <c r="C80" s="188" t="s">
        <v>359</v>
      </c>
      <c r="D80" s="195">
        <f>'Coral growth rates and density'!I146</f>
        <v>2.5810863126999517</v>
      </c>
      <c r="E80" s="196">
        <f>1.96*'Coral growth rates and density'!J146</f>
        <v>0.79385050782809419</v>
      </c>
      <c r="F80" s="196">
        <f>'Coral growth rates and density'!M146</f>
        <v>1.5899999999999999</v>
      </c>
      <c r="G80" s="196">
        <f>1.96*'Coral growth rates and density'!N146</f>
        <v>0.19599999999999995</v>
      </c>
      <c r="H80" s="197">
        <f>AVERAGE(0.19,0.364,0.141,0.327)</f>
        <v>0.2555</v>
      </c>
      <c r="I80" s="271" t="s">
        <v>1757</v>
      </c>
      <c r="J80" s="272" t="s">
        <v>1757</v>
      </c>
      <c r="K80" s="260"/>
    </row>
    <row r="81" spans="1:17" x14ac:dyDescent="0.35">
      <c r="A81" s="188" t="s">
        <v>896</v>
      </c>
      <c r="B81" s="206" t="s">
        <v>895</v>
      </c>
      <c r="C81" s="188" t="s">
        <v>20</v>
      </c>
      <c r="D81" s="195">
        <f>'Coral growth rates and density'!I146</f>
        <v>2.5810863126999517</v>
      </c>
      <c r="E81" s="196">
        <f>1.96*'Coral growth rates and density'!J146</f>
        <v>0.79385050782809419</v>
      </c>
      <c r="F81" s="196">
        <f>'Coral growth rates and density'!M146</f>
        <v>1.5899999999999999</v>
      </c>
      <c r="G81" s="196">
        <f>1.96*'Coral growth rates and density'!N146</f>
        <v>0.19599999999999995</v>
      </c>
      <c r="H81" s="197"/>
      <c r="I81" s="271" t="s">
        <v>1757</v>
      </c>
      <c r="J81" s="272" t="s">
        <v>1757</v>
      </c>
      <c r="K81" s="260"/>
    </row>
    <row r="82" spans="1:17" x14ac:dyDescent="0.35">
      <c r="A82" s="188" t="s">
        <v>898</v>
      </c>
      <c r="B82" s="206" t="s">
        <v>895</v>
      </c>
      <c r="C82" s="188" t="s">
        <v>609</v>
      </c>
      <c r="D82" s="195">
        <f>'Coral growth rates and density'!I146</f>
        <v>2.5810863126999517</v>
      </c>
      <c r="E82" s="196">
        <f>1.96*'Coral growth rates and density'!J146</f>
        <v>0.79385050782809419</v>
      </c>
      <c r="F82" s="196">
        <f>'Coral growth rates and density'!M146</f>
        <v>1.5899999999999999</v>
      </c>
      <c r="G82" s="196">
        <f>1.96*'Coral growth rates and density'!N146</f>
        <v>0.19599999999999995</v>
      </c>
      <c r="H82" s="197"/>
      <c r="I82" s="271" t="s">
        <v>1757</v>
      </c>
      <c r="J82" s="272" t="s">
        <v>1757</v>
      </c>
      <c r="K82" s="260"/>
    </row>
    <row r="83" spans="1:17" x14ac:dyDescent="0.35">
      <c r="A83" s="188" t="s">
        <v>897</v>
      </c>
      <c r="B83" s="206" t="s">
        <v>895</v>
      </c>
      <c r="C83" s="188" t="s">
        <v>82</v>
      </c>
      <c r="D83" s="195">
        <f>D15</f>
        <v>0.90692311241565837</v>
      </c>
      <c r="E83" s="196">
        <f>E15</f>
        <v>0.19328579499248366</v>
      </c>
      <c r="F83" s="196">
        <f>'Coral growth rates and density'!M146</f>
        <v>1.5899999999999999</v>
      </c>
      <c r="G83" s="196">
        <f>1.96*'Coral growth rates and density'!N146</f>
        <v>0.19599999999999995</v>
      </c>
      <c r="H83" s="197"/>
      <c r="I83" s="271" t="s">
        <v>852</v>
      </c>
      <c r="J83" s="272" t="s">
        <v>1757</v>
      </c>
      <c r="K83" s="260"/>
    </row>
    <row r="84" spans="1:17" x14ac:dyDescent="0.35">
      <c r="A84" s="188" t="s">
        <v>1197</v>
      </c>
      <c r="B84" s="206" t="s">
        <v>895</v>
      </c>
      <c r="C84" s="188" t="s">
        <v>508</v>
      </c>
      <c r="D84" s="195">
        <f>'Coral growth rates and density'!I146</f>
        <v>2.5810863126999517</v>
      </c>
      <c r="E84" s="196">
        <f>1.96*'Coral growth rates and density'!J146</f>
        <v>0.79385050782809419</v>
      </c>
      <c r="F84" s="196">
        <f>'Coral growth rates and density'!M146</f>
        <v>1.5899999999999999</v>
      </c>
      <c r="G84" s="196">
        <f>1.96*'Coral growth rates and density'!N146</f>
        <v>0.19599999999999995</v>
      </c>
      <c r="H84" s="201"/>
      <c r="I84" s="271" t="s">
        <v>1757</v>
      </c>
      <c r="J84" s="272" t="s">
        <v>1757</v>
      </c>
      <c r="K84" s="260"/>
      <c r="L84" s="194"/>
      <c r="M84" s="194"/>
      <c r="N84" s="194"/>
      <c r="O84" s="194"/>
      <c r="P84" s="194"/>
      <c r="Q84" s="194"/>
    </row>
    <row r="85" spans="1:17" x14ac:dyDescent="0.35">
      <c r="A85" s="188" t="s">
        <v>899</v>
      </c>
      <c r="B85" s="206" t="s">
        <v>895</v>
      </c>
      <c r="C85" s="188" t="s">
        <v>34</v>
      </c>
      <c r="D85" s="195">
        <f>D17</f>
        <v>1.7212028571428573</v>
      </c>
      <c r="E85" s="196">
        <f>E17</f>
        <v>1.1329047148307578</v>
      </c>
      <c r="F85" s="196">
        <f>'Coral growth rates and density'!M146</f>
        <v>1.5899999999999999</v>
      </c>
      <c r="G85" s="196">
        <f>1.96*'Coral growth rates and density'!N146</f>
        <v>0.19599999999999995</v>
      </c>
      <c r="H85" s="201"/>
      <c r="I85" s="271" t="s">
        <v>854</v>
      </c>
      <c r="J85" s="272" t="s">
        <v>1757</v>
      </c>
      <c r="K85" s="260"/>
      <c r="L85" s="194"/>
      <c r="M85" s="194"/>
      <c r="N85" s="194"/>
      <c r="O85" s="194"/>
      <c r="P85" s="194"/>
      <c r="Q85" s="194"/>
    </row>
    <row r="86" spans="1:17" x14ac:dyDescent="0.35">
      <c r="A86" s="188" t="s">
        <v>900</v>
      </c>
      <c r="B86" s="206" t="s">
        <v>901</v>
      </c>
      <c r="C86" s="188" t="s">
        <v>359</v>
      </c>
      <c r="D86" s="195">
        <f>D144</f>
        <v>1.0231704741233698</v>
      </c>
      <c r="E86" s="196">
        <f>E144</f>
        <v>0.43478057324390612</v>
      </c>
      <c r="F86" s="196">
        <f t="shared" ref="F86" si="39">F144</f>
        <v>1.1283614541628804</v>
      </c>
      <c r="G86" s="196">
        <f t="shared" ref="G86" si="40">G144</f>
        <v>0.11867547841216843</v>
      </c>
      <c r="H86" s="201">
        <v>0.33800000000000002</v>
      </c>
      <c r="I86" s="275" t="s">
        <v>939</v>
      </c>
      <c r="J86" s="276" t="s">
        <v>939</v>
      </c>
      <c r="K86" s="262" t="s">
        <v>1832</v>
      </c>
      <c r="L86" s="194"/>
      <c r="M86" s="194"/>
      <c r="N86" s="194"/>
      <c r="O86" s="194"/>
      <c r="P86" s="194"/>
      <c r="Q86" s="194"/>
    </row>
    <row r="87" spans="1:17" x14ac:dyDescent="0.35">
      <c r="A87" s="188" t="s">
        <v>1208</v>
      </c>
      <c r="B87" s="206" t="s">
        <v>901</v>
      </c>
      <c r="C87" s="188" t="s">
        <v>82</v>
      </c>
      <c r="D87" s="195">
        <f>D144</f>
        <v>1.0231704741233698</v>
      </c>
      <c r="E87" s="196">
        <f>E144</f>
        <v>0.43478057324390612</v>
      </c>
      <c r="F87" s="196">
        <f t="shared" ref="F87" si="41">F144</f>
        <v>1.1283614541628804</v>
      </c>
      <c r="G87" s="196">
        <f t="shared" ref="G87" si="42">G144</f>
        <v>0.11867547841216843</v>
      </c>
      <c r="H87" s="201">
        <v>0.8</v>
      </c>
      <c r="I87" s="275" t="s">
        <v>939</v>
      </c>
      <c r="J87" s="276" t="s">
        <v>939</v>
      </c>
      <c r="K87" s="265" t="s">
        <v>1834</v>
      </c>
      <c r="L87" s="194"/>
      <c r="M87" s="194"/>
      <c r="N87" s="194"/>
      <c r="O87" s="194"/>
      <c r="P87" s="194"/>
      <c r="Q87" s="194"/>
    </row>
    <row r="88" spans="1:17" x14ac:dyDescent="0.35">
      <c r="A88" s="215" t="s">
        <v>904</v>
      </c>
      <c r="B88" s="216" t="s">
        <v>540</v>
      </c>
      <c r="C88" s="215" t="s">
        <v>338</v>
      </c>
      <c r="D88" s="195">
        <f t="shared" ref="D88:F88" si="43">D90</f>
        <v>0.65052379609773436</v>
      </c>
      <c r="E88" s="196">
        <f t="shared" ref="E88" si="44">E90</f>
        <v>0.13457923474721886</v>
      </c>
      <c r="F88" s="196">
        <f t="shared" si="43"/>
        <v>1.0673659352098221</v>
      </c>
      <c r="G88" s="196">
        <f t="shared" ref="G88" si="45">G90</f>
        <v>0.15184662493647283</v>
      </c>
      <c r="H88" s="201"/>
      <c r="I88" s="277" t="s">
        <v>903</v>
      </c>
      <c r="J88" s="278" t="s">
        <v>903</v>
      </c>
      <c r="K88" s="262" t="s">
        <v>1749</v>
      </c>
      <c r="L88" s="194"/>
      <c r="M88" s="194"/>
      <c r="N88" s="194"/>
      <c r="O88" s="194"/>
      <c r="P88" s="194"/>
      <c r="Q88" s="194"/>
    </row>
    <row r="89" spans="1:17" x14ac:dyDescent="0.35">
      <c r="A89" s="215" t="s">
        <v>902</v>
      </c>
      <c r="B89" s="216" t="s">
        <v>540</v>
      </c>
      <c r="C89" s="215" t="s">
        <v>20</v>
      </c>
      <c r="D89" s="195">
        <f>D91</f>
        <v>0.59663509545957916</v>
      </c>
      <c r="E89" s="196">
        <f>E91</f>
        <v>0.27657050058212418</v>
      </c>
      <c r="F89" s="196">
        <f t="shared" ref="F89" si="46">F132</f>
        <v>1.63</v>
      </c>
      <c r="G89" s="196">
        <f t="shared" ref="G89" si="47">G132</f>
        <v>0.31684982773126663</v>
      </c>
      <c r="H89" s="201"/>
      <c r="I89" s="275" t="s">
        <v>905</v>
      </c>
      <c r="J89" s="276" t="s">
        <v>929</v>
      </c>
      <c r="K89" s="262" t="s">
        <v>1188</v>
      </c>
      <c r="L89" s="194"/>
      <c r="M89" s="194"/>
      <c r="N89" s="194"/>
      <c r="O89" s="194"/>
      <c r="P89" s="194"/>
      <c r="Q89" s="194"/>
    </row>
    <row r="90" spans="1:17" x14ac:dyDescent="0.35">
      <c r="A90" s="215" t="s">
        <v>903</v>
      </c>
      <c r="B90" s="216" t="s">
        <v>540</v>
      </c>
      <c r="C90" s="215" t="s">
        <v>82</v>
      </c>
      <c r="D90" s="195">
        <f>'Coral growth rates and density'!I142</f>
        <v>0.65052379609773436</v>
      </c>
      <c r="E90" s="196">
        <f>1.96*'Coral growth rates and density'!J142</f>
        <v>0.13457923474721886</v>
      </c>
      <c r="F90" s="196">
        <f>'Coral growth rates and density'!M142</f>
        <v>1.0673659352098221</v>
      </c>
      <c r="G90" s="196">
        <f>1.96*'Coral growth rates and density'!N142</f>
        <v>0.15184662493647283</v>
      </c>
      <c r="H90" s="201"/>
      <c r="I90" s="277"/>
      <c r="J90" s="278"/>
      <c r="K90" s="262" t="s">
        <v>1749</v>
      </c>
      <c r="L90" s="194"/>
      <c r="M90" s="194"/>
      <c r="N90" s="194"/>
      <c r="O90" s="194"/>
      <c r="P90" s="194"/>
      <c r="Q90" s="194"/>
    </row>
    <row r="91" spans="1:17" x14ac:dyDescent="0.35">
      <c r="A91" s="188" t="s">
        <v>905</v>
      </c>
      <c r="B91" s="206" t="s">
        <v>537</v>
      </c>
      <c r="C91" s="188" t="s">
        <v>20</v>
      </c>
      <c r="D91" s="195">
        <f>'Coral growth rates and density'!I158</f>
        <v>0.59663509545957916</v>
      </c>
      <c r="E91" s="196">
        <f>1.96*'Coral growth rates and density'!J158</f>
        <v>0.27657050058212418</v>
      </c>
      <c r="F91" s="196">
        <f t="shared" ref="F91" si="48">F132</f>
        <v>1.63</v>
      </c>
      <c r="G91" s="196">
        <f t="shared" ref="G91" si="49">G132</f>
        <v>0.31684982773126663</v>
      </c>
      <c r="H91" s="201"/>
      <c r="I91" s="275"/>
      <c r="J91" s="276" t="s">
        <v>929</v>
      </c>
      <c r="K91" s="262" t="s">
        <v>1188</v>
      </c>
      <c r="L91" s="194"/>
      <c r="M91" s="194"/>
      <c r="N91" s="194"/>
      <c r="O91" s="194"/>
      <c r="P91" s="194"/>
      <c r="Q91" s="194"/>
    </row>
    <row r="92" spans="1:17" x14ac:dyDescent="0.35">
      <c r="A92" s="188" t="s">
        <v>906</v>
      </c>
      <c r="B92" s="206" t="s">
        <v>537</v>
      </c>
      <c r="C92" s="188" t="s">
        <v>82</v>
      </c>
      <c r="D92" s="195">
        <f>'Coral growth rates and density'!I155</f>
        <v>0.69519833333333336</v>
      </c>
      <c r="E92" s="196">
        <f>1.96*'Coral growth rates and density'!J155</f>
        <v>0.23053725929335883</v>
      </c>
      <c r="F92" s="196">
        <f>'Coral growth rates and density'!M155</f>
        <v>1.2877189463537173</v>
      </c>
      <c r="G92" s="196">
        <f>1.96*'Coral growth rates and density'!N155</f>
        <v>5.6940900366126743E-2</v>
      </c>
      <c r="H92" s="201"/>
      <c r="I92" s="277"/>
      <c r="J92" s="278"/>
      <c r="K92" s="262"/>
      <c r="L92" s="194"/>
      <c r="M92" s="194"/>
      <c r="N92" s="194"/>
      <c r="O92" s="194"/>
      <c r="P92" s="194"/>
      <c r="Q92" s="194"/>
    </row>
    <row r="93" spans="1:17" x14ac:dyDescent="0.35">
      <c r="A93" s="207" t="s">
        <v>1762</v>
      </c>
      <c r="B93" s="208" t="s">
        <v>1645</v>
      </c>
      <c r="C93" s="207" t="s">
        <v>359</v>
      </c>
      <c r="D93" s="195">
        <f>D144</f>
        <v>1.0231704741233698</v>
      </c>
      <c r="E93" s="196">
        <f>E144</f>
        <v>0.43478057324390612</v>
      </c>
      <c r="F93" s="196">
        <f t="shared" ref="F93" si="50">F144</f>
        <v>1.1283614541628804</v>
      </c>
      <c r="G93" s="196">
        <f t="shared" ref="G93" si="51">G144</f>
        <v>0.11867547841216843</v>
      </c>
      <c r="H93" s="201">
        <v>0.33800000000000002</v>
      </c>
      <c r="I93" s="275" t="s">
        <v>939</v>
      </c>
      <c r="J93" s="276" t="s">
        <v>939</v>
      </c>
      <c r="K93" s="262" t="s">
        <v>1833</v>
      </c>
      <c r="L93" s="194"/>
      <c r="M93" s="194"/>
      <c r="N93" s="194"/>
      <c r="O93" s="194"/>
      <c r="P93" s="194"/>
      <c r="Q93" s="194"/>
    </row>
    <row r="94" spans="1:17" customFormat="1" x14ac:dyDescent="0.35">
      <c r="A94" s="207" t="s">
        <v>1837</v>
      </c>
      <c r="B94" s="208" t="s">
        <v>1645</v>
      </c>
      <c r="C94" s="207" t="s">
        <v>82</v>
      </c>
      <c r="D94" s="195">
        <f>D144</f>
        <v>1.0231704741233698</v>
      </c>
      <c r="E94" s="196">
        <f>E144</f>
        <v>0.43478057324390612</v>
      </c>
      <c r="F94" s="196">
        <f>F144</f>
        <v>1.1283614541628804</v>
      </c>
      <c r="G94" s="196">
        <f>G144</f>
        <v>0.11867547841216843</v>
      </c>
      <c r="H94" s="201">
        <v>0.8</v>
      </c>
      <c r="I94" s="275" t="s">
        <v>939</v>
      </c>
      <c r="J94" s="276" t="s">
        <v>939</v>
      </c>
      <c r="K94" s="262" t="s">
        <v>1838</v>
      </c>
    </row>
    <row r="95" spans="1:17" x14ac:dyDescent="0.35">
      <c r="A95" s="188" t="s">
        <v>1141</v>
      </c>
      <c r="B95" s="206" t="s">
        <v>590</v>
      </c>
      <c r="C95" s="188" t="s">
        <v>883</v>
      </c>
      <c r="D95" s="195">
        <f>'Coral growth rates and density'!I171</f>
        <v>0.91899999999999993</v>
      </c>
      <c r="E95" s="196">
        <f>1.96*'Coral growth rates and density'!J171</f>
        <v>0.31802572893818931</v>
      </c>
      <c r="F95" s="196">
        <f>'Coral growth rates and density'!M171</f>
        <v>1.99</v>
      </c>
      <c r="G95" s="196">
        <f>1.96*'Coral growth rates and density'!N171</f>
        <v>0</v>
      </c>
      <c r="H95" s="201"/>
      <c r="I95" s="277"/>
      <c r="J95" s="278"/>
      <c r="K95" s="262" t="s">
        <v>1207</v>
      </c>
      <c r="L95" s="194"/>
      <c r="M95" s="194"/>
      <c r="N95" s="194"/>
      <c r="O95" s="194"/>
      <c r="P95" s="194"/>
      <c r="Q95" s="194"/>
    </row>
    <row r="96" spans="1:17" x14ac:dyDescent="0.35">
      <c r="A96" s="188" t="s">
        <v>907</v>
      </c>
      <c r="B96" s="206" t="s">
        <v>455</v>
      </c>
      <c r="C96" s="188" t="s">
        <v>338</v>
      </c>
      <c r="D96" s="195">
        <f>D98</f>
        <v>0.76500000000000001</v>
      </c>
      <c r="E96" s="196">
        <f>E98</f>
        <v>0.26460000000000028</v>
      </c>
      <c r="F96" s="196">
        <f t="shared" ref="F96" si="52">F98</f>
        <v>1.2691774624849614</v>
      </c>
      <c r="G96" s="196">
        <f t="shared" ref="G96" si="53">G98</f>
        <v>0.63507642388421193</v>
      </c>
      <c r="H96" s="201"/>
      <c r="I96" s="277" t="s">
        <v>909</v>
      </c>
      <c r="J96" s="278" t="s">
        <v>909</v>
      </c>
      <c r="K96" s="262"/>
      <c r="L96" s="194"/>
      <c r="M96" s="194"/>
      <c r="N96" s="194"/>
      <c r="O96" s="194"/>
      <c r="P96" s="194"/>
      <c r="Q96" s="194"/>
    </row>
    <row r="97" spans="1:11" x14ac:dyDescent="0.35">
      <c r="A97" s="188" t="s">
        <v>908</v>
      </c>
      <c r="B97" s="206" t="s">
        <v>455</v>
      </c>
      <c r="C97" s="188" t="s">
        <v>20</v>
      </c>
      <c r="D97" s="195">
        <f>D98</f>
        <v>0.76500000000000001</v>
      </c>
      <c r="E97" s="196">
        <f>E98</f>
        <v>0.26460000000000028</v>
      </c>
      <c r="F97" s="196">
        <f>F98</f>
        <v>1.2691774624849614</v>
      </c>
      <c r="G97" s="196">
        <f>G98</f>
        <v>0.63507642388421193</v>
      </c>
      <c r="H97" s="197"/>
      <c r="I97" s="277" t="s">
        <v>909</v>
      </c>
      <c r="J97" s="278" t="s">
        <v>909</v>
      </c>
      <c r="K97" s="262"/>
    </row>
    <row r="98" spans="1:11" x14ac:dyDescent="0.35">
      <c r="A98" s="188" t="s">
        <v>909</v>
      </c>
      <c r="B98" s="206" t="s">
        <v>455</v>
      </c>
      <c r="C98" s="188" t="s">
        <v>82</v>
      </c>
      <c r="D98" s="195">
        <f>'Coral growth rates and density'!I176</f>
        <v>0.76500000000000001</v>
      </c>
      <c r="E98" s="196">
        <f>1.96*'Coral growth rates and density'!J176</f>
        <v>0.26460000000000028</v>
      </c>
      <c r="F98" s="196">
        <f>'Coral growth rates and density'!M176</f>
        <v>1.2691774624849614</v>
      </c>
      <c r="G98" s="196">
        <f>1.96*'Coral growth rates and density'!N176</f>
        <v>0.63507642388421193</v>
      </c>
      <c r="H98" s="197"/>
      <c r="I98" s="277"/>
      <c r="J98" s="278"/>
      <c r="K98" s="262"/>
    </row>
    <row r="99" spans="1:11" x14ac:dyDescent="0.35">
      <c r="A99" s="188" t="s">
        <v>910</v>
      </c>
      <c r="B99" s="206" t="s">
        <v>455</v>
      </c>
      <c r="C99" s="188" t="s">
        <v>34</v>
      </c>
      <c r="D99" s="195">
        <f>D98</f>
        <v>0.76500000000000001</v>
      </c>
      <c r="E99" s="196">
        <f>E98</f>
        <v>0.26460000000000028</v>
      </c>
      <c r="F99" s="196">
        <f t="shared" ref="F99" si="54">F98</f>
        <v>1.2691774624849614</v>
      </c>
      <c r="G99" s="196">
        <f t="shared" ref="G99" si="55">G98</f>
        <v>0.63507642388421193</v>
      </c>
      <c r="H99" s="197"/>
      <c r="I99" s="277" t="s">
        <v>909</v>
      </c>
      <c r="J99" s="278" t="s">
        <v>909</v>
      </c>
      <c r="K99" s="262"/>
    </row>
    <row r="100" spans="1:11" x14ac:dyDescent="0.35">
      <c r="A100" s="188" t="s">
        <v>911</v>
      </c>
      <c r="B100" s="206" t="s">
        <v>912</v>
      </c>
      <c r="C100" s="188" t="s">
        <v>20</v>
      </c>
      <c r="D100" s="195">
        <f>D101</f>
        <v>0.83499999999999996</v>
      </c>
      <c r="E100" s="196">
        <f>E101</f>
        <v>0.41735422205443995</v>
      </c>
      <c r="F100" s="196">
        <f t="shared" ref="F100:G100" si="56">F101</f>
        <v>1.63</v>
      </c>
      <c r="G100" s="196">
        <f t="shared" si="56"/>
        <v>0.11106666666666677</v>
      </c>
      <c r="H100" s="197"/>
      <c r="I100" s="277" t="s">
        <v>913</v>
      </c>
      <c r="J100" s="278" t="s">
        <v>913</v>
      </c>
      <c r="K100" s="262"/>
    </row>
    <row r="101" spans="1:11" x14ac:dyDescent="0.35">
      <c r="A101" s="188" t="s">
        <v>913</v>
      </c>
      <c r="B101" s="206" t="s">
        <v>912</v>
      </c>
      <c r="C101" s="188" t="s">
        <v>82</v>
      </c>
      <c r="D101" s="195">
        <f>'Coral growth rates and density'!I181</f>
        <v>0.83499999999999996</v>
      </c>
      <c r="E101" s="196">
        <f>1.96*'Coral growth rates and density'!J181</f>
        <v>0.41735422205443995</v>
      </c>
      <c r="F101" s="196">
        <f>'Coral growth rates and density'!M181</f>
        <v>1.63</v>
      </c>
      <c r="G101" s="196">
        <f>1.96*'Coral growth rates and density'!N181</f>
        <v>0.11106666666666677</v>
      </c>
      <c r="H101" s="197"/>
      <c r="I101" s="277"/>
      <c r="J101" s="278"/>
      <c r="K101" s="262"/>
    </row>
    <row r="102" spans="1:11" x14ac:dyDescent="0.35">
      <c r="A102" s="188" t="s">
        <v>914</v>
      </c>
      <c r="B102" s="206" t="s">
        <v>518</v>
      </c>
      <c r="C102" s="188" t="s">
        <v>338</v>
      </c>
      <c r="D102" s="195">
        <f>D104</f>
        <v>0.63924242424242428</v>
      </c>
      <c r="E102" s="196">
        <f>E104</f>
        <v>0.15486854382324386</v>
      </c>
      <c r="F102" s="196">
        <f t="shared" ref="F102" si="57">F104</f>
        <v>1.3520402390229227</v>
      </c>
      <c r="G102" s="196">
        <f t="shared" ref="G102" si="58">G104</f>
        <v>0.15326811609364543</v>
      </c>
      <c r="H102" s="201"/>
      <c r="I102" s="275" t="s">
        <v>916</v>
      </c>
      <c r="J102" s="276" t="s">
        <v>916</v>
      </c>
      <c r="K102" s="262"/>
    </row>
    <row r="103" spans="1:11" x14ac:dyDescent="0.35">
      <c r="A103" s="188" t="s">
        <v>915</v>
      </c>
      <c r="B103" s="206" t="s">
        <v>518</v>
      </c>
      <c r="C103" s="188" t="s">
        <v>20</v>
      </c>
      <c r="D103" s="195">
        <f>D101</f>
        <v>0.83499999999999996</v>
      </c>
      <c r="E103" s="196">
        <f>E101</f>
        <v>0.41735422205443995</v>
      </c>
      <c r="F103" s="196">
        <f>F104</f>
        <v>1.3520402390229227</v>
      </c>
      <c r="G103" s="196">
        <f>G104</f>
        <v>0.15326811609364543</v>
      </c>
      <c r="H103" s="201"/>
      <c r="I103" s="277" t="s">
        <v>916</v>
      </c>
      <c r="J103" s="278" t="s">
        <v>916</v>
      </c>
      <c r="K103" s="262"/>
    </row>
    <row r="104" spans="1:11" x14ac:dyDescent="0.35">
      <c r="A104" s="188" t="s">
        <v>916</v>
      </c>
      <c r="B104" s="206" t="s">
        <v>518</v>
      </c>
      <c r="C104" s="188" t="s">
        <v>82</v>
      </c>
      <c r="D104" s="195">
        <f>'Coral growth rates and density'!I199</f>
        <v>0.63924242424242428</v>
      </c>
      <c r="E104" s="196">
        <f>1.96*'Coral growth rates and density'!J199</f>
        <v>0.15486854382324386</v>
      </c>
      <c r="F104" s="196">
        <f>'Coral growth rates and density'!M199</f>
        <v>1.3520402390229227</v>
      </c>
      <c r="G104" s="196">
        <f>1.96*'Coral growth rates and density'!N199</f>
        <v>0.15326811609364543</v>
      </c>
      <c r="H104" s="201"/>
      <c r="I104" s="277"/>
      <c r="J104" s="278"/>
      <c r="K104" s="262"/>
    </row>
    <row r="105" spans="1:11" x14ac:dyDescent="0.35">
      <c r="A105" s="188" t="s">
        <v>917</v>
      </c>
      <c r="B105" s="206" t="s">
        <v>518</v>
      </c>
      <c r="C105" s="188" t="s">
        <v>34</v>
      </c>
      <c r="D105" s="195">
        <f>D104</f>
        <v>0.63924242424242428</v>
      </c>
      <c r="E105" s="196">
        <f>E104</f>
        <v>0.15486854382324386</v>
      </c>
      <c r="F105" s="196">
        <f t="shared" ref="F105" si="59">F104</f>
        <v>1.3520402390229227</v>
      </c>
      <c r="G105" s="196">
        <f t="shared" ref="G105" si="60">G104</f>
        <v>0.15326811609364543</v>
      </c>
      <c r="H105" s="201"/>
      <c r="I105" s="277" t="s">
        <v>916</v>
      </c>
      <c r="J105" s="278" t="s">
        <v>916</v>
      </c>
      <c r="K105" s="262"/>
    </row>
    <row r="106" spans="1:11" x14ac:dyDescent="0.35">
      <c r="A106" s="188" t="s">
        <v>918</v>
      </c>
      <c r="B106" s="206" t="s">
        <v>376</v>
      </c>
      <c r="C106" s="188" t="s">
        <v>338</v>
      </c>
      <c r="D106" s="195">
        <f>D108</f>
        <v>2.2349999999999999</v>
      </c>
      <c r="E106" s="196">
        <f>E108</f>
        <v>5.8799999999999998E-2</v>
      </c>
      <c r="F106" s="196">
        <f>'Coral growth rates and density'!M206</f>
        <v>0.94534139274999995</v>
      </c>
      <c r="G106" s="196">
        <f>1.96*'Coral growth rates and density'!N206</f>
        <v>0.16210375754999989</v>
      </c>
      <c r="H106" s="201"/>
      <c r="I106" s="275" t="s">
        <v>920</v>
      </c>
      <c r="J106" s="276"/>
      <c r="K106" s="262"/>
    </row>
    <row r="107" spans="1:11" x14ac:dyDescent="0.35">
      <c r="A107" s="188" t="s">
        <v>919</v>
      </c>
      <c r="B107" s="206" t="s">
        <v>376</v>
      </c>
      <c r="C107" s="188" t="s">
        <v>20</v>
      </c>
      <c r="D107" s="195">
        <f>D108</f>
        <v>2.2349999999999999</v>
      </c>
      <c r="E107" s="196">
        <f>E108</f>
        <v>5.8799999999999998E-2</v>
      </c>
      <c r="F107" s="196">
        <f>'Coral growth rates and density'!M208</f>
        <v>0.94</v>
      </c>
      <c r="G107" s="196">
        <f>1.96*'Coral growth rates and density'!N208</f>
        <v>6.8600000000000064E-2</v>
      </c>
      <c r="H107" s="201"/>
      <c r="I107" s="275" t="s">
        <v>920</v>
      </c>
      <c r="J107" s="276"/>
      <c r="K107" s="262"/>
    </row>
    <row r="108" spans="1:11" x14ac:dyDescent="0.35">
      <c r="A108" s="188" t="s">
        <v>920</v>
      </c>
      <c r="B108" s="206" t="s">
        <v>376</v>
      </c>
      <c r="C108" s="188" t="s">
        <v>82</v>
      </c>
      <c r="D108" s="195">
        <f>'Coral growth rates and density'!I203</f>
        <v>2.2349999999999999</v>
      </c>
      <c r="E108" s="196">
        <f>1.96*'Coral growth rates and density'!J203</f>
        <v>5.8799999999999998E-2</v>
      </c>
      <c r="F108" s="196">
        <f>'Coral growth rates and density'!M203</f>
        <v>1.1499999999999999</v>
      </c>
      <c r="G108" s="196">
        <f>1.96*'Coral growth rates and density'!N203</f>
        <v>0.31360000000000177</v>
      </c>
      <c r="H108" s="197"/>
      <c r="I108" s="277"/>
      <c r="J108" s="278"/>
      <c r="K108" s="262"/>
    </row>
    <row r="109" spans="1:11" x14ac:dyDescent="0.35">
      <c r="A109" s="188" t="s">
        <v>921</v>
      </c>
      <c r="B109" s="206" t="s">
        <v>376</v>
      </c>
      <c r="C109" s="188" t="s">
        <v>508</v>
      </c>
      <c r="D109" s="195">
        <f>D108</f>
        <v>2.2349999999999999</v>
      </c>
      <c r="E109" s="196">
        <f>E108</f>
        <v>5.8799999999999998E-2</v>
      </c>
      <c r="F109" s="196">
        <f t="shared" ref="F109" si="61">F108</f>
        <v>1.1499999999999999</v>
      </c>
      <c r="G109" s="196">
        <f t="shared" ref="G109" si="62">G108</f>
        <v>0.31360000000000177</v>
      </c>
      <c r="H109" s="197"/>
      <c r="I109" s="277" t="s">
        <v>920</v>
      </c>
      <c r="J109" s="278" t="s">
        <v>920</v>
      </c>
      <c r="K109" s="262" t="s">
        <v>1226</v>
      </c>
    </row>
    <row r="110" spans="1:11" x14ac:dyDescent="0.35">
      <c r="A110" s="188" t="s">
        <v>922</v>
      </c>
      <c r="B110" s="206" t="s">
        <v>376</v>
      </c>
      <c r="C110" s="188" t="s">
        <v>34</v>
      </c>
      <c r="D110" s="195">
        <f>D108</f>
        <v>2.2349999999999999</v>
      </c>
      <c r="E110" s="196">
        <f>E108</f>
        <v>5.8799999999999998E-2</v>
      </c>
      <c r="F110" s="196">
        <f t="shared" ref="F110" si="63">F108</f>
        <v>1.1499999999999999</v>
      </c>
      <c r="G110" s="196">
        <f t="shared" ref="G110" si="64">G108</f>
        <v>0.31360000000000177</v>
      </c>
      <c r="H110" s="197"/>
      <c r="I110" s="277" t="s">
        <v>920</v>
      </c>
      <c r="J110" s="278" t="s">
        <v>920</v>
      </c>
      <c r="K110" s="262"/>
    </row>
    <row r="111" spans="1:11" x14ac:dyDescent="0.35">
      <c r="A111" s="188" t="s">
        <v>1423</v>
      </c>
      <c r="B111" s="206" t="s">
        <v>1424</v>
      </c>
      <c r="C111" s="188" t="s">
        <v>1318</v>
      </c>
      <c r="D111" s="202"/>
      <c r="E111" s="203"/>
      <c r="F111" s="203"/>
      <c r="G111" s="203"/>
      <c r="H111" s="209"/>
      <c r="I111" s="277"/>
      <c r="J111" s="278"/>
      <c r="K111" s="262"/>
    </row>
    <row r="112" spans="1:11" x14ac:dyDescent="0.35">
      <c r="A112" s="212" t="s">
        <v>1425</v>
      </c>
      <c r="B112" s="206" t="s">
        <v>923</v>
      </c>
      <c r="C112" s="188" t="s">
        <v>883</v>
      </c>
      <c r="D112" s="195">
        <f>'Coral growth rates and density'!I171</f>
        <v>0.91899999999999993</v>
      </c>
      <c r="E112" s="196">
        <f>1.96*'Coral growth rates and density'!J171</f>
        <v>0.31802572893818931</v>
      </c>
      <c r="F112" s="196">
        <f>'Coral growth rates and density'!M171</f>
        <v>1.99</v>
      </c>
      <c r="G112" s="196">
        <f>1.96*'Coral growth rates and density'!N171</f>
        <v>0</v>
      </c>
      <c r="H112" s="197"/>
      <c r="I112" s="277" t="s">
        <v>1141</v>
      </c>
      <c r="J112" s="278" t="s">
        <v>1141</v>
      </c>
      <c r="K112" s="262" t="s">
        <v>1207</v>
      </c>
    </row>
    <row r="113" spans="1:11" x14ac:dyDescent="0.35">
      <c r="A113" s="213" t="s">
        <v>1715</v>
      </c>
      <c r="B113" s="208" t="s">
        <v>588</v>
      </c>
      <c r="C113" s="207" t="s">
        <v>883</v>
      </c>
      <c r="D113" s="195">
        <f>D95</f>
        <v>0.91899999999999993</v>
      </c>
      <c r="E113" s="196">
        <f>E95</f>
        <v>0.31802572893818931</v>
      </c>
      <c r="F113" s="196">
        <f t="shared" ref="F113" si="65">F95</f>
        <v>1.99</v>
      </c>
      <c r="G113" s="196">
        <f t="shared" ref="G113" si="66">G95</f>
        <v>0</v>
      </c>
      <c r="H113" s="197"/>
      <c r="I113" s="277" t="s">
        <v>1141</v>
      </c>
      <c r="J113" s="278" t="s">
        <v>1141</v>
      </c>
      <c r="K113" s="262" t="s">
        <v>1207</v>
      </c>
    </row>
    <row r="114" spans="1:11" x14ac:dyDescent="0.35">
      <c r="A114" s="213" t="s">
        <v>1717</v>
      </c>
      <c r="B114" s="208" t="s">
        <v>1646</v>
      </c>
      <c r="C114" s="207" t="s">
        <v>359</v>
      </c>
      <c r="D114" s="195">
        <f>'Coral growth rates and density'!I210</f>
        <v>0.86</v>
      </c>
      <c r="E114" s="196">
        <f>1.96*'Coral growth rates and density'!J210</f>
        <v>9.8000000000000004E-2</v>
      </c>
      <c r="F114" s="196">
        <f>'Coral growth rates and density'!M210</f>
        <v>2.0099999999999998</v>
      </c>
      <c r="G114" s="196">
        <f>1.96*'Coral growth rates and density'!N210</f>
        <v>0.1176</v>
      </c>
      <c r="H114" s="197">
        <v>0.33800000000000002</v>
      </c>
      <c r="I114" s="277"/>
      <c r="J114" s="278"/>
      <c r="K114" s="262" t="s">
        <v>1802</v>
      </c>
    </row>
    <row r="115" spans="1:11" x14ac:dyDescent="0.35">
      <c r="A115" s="188" t="s">
        <v>1426</v>
      </c>
      <c r="B115" s="206" t="s">
        <v>581</v>
      </c>
      <c r="C115" s="188" t="s">
        <v>883</v>
      </c>
      <c r="D115" s="195">
        <f>'Coral growth rates and density'!I171</f>
        <v>0.91899999999999993</v>
      </c>
      <c r="E115" s="196">
        <f>1.96*'Coral growth rates and density'!J171</f>
        <v>0.31802572893818931</v>
      </c>
      <c r="F115" s="196">
        <f>'Coral growth rates and density'!M171</f>
        <v>1.99</v>
      </c>
      <c r="G115" s="196">
        <f>1.96*'Coral growth rates and density'!N171</f>
        <v>0</v>
      </c>
      <c r="H115" s="197"/>
      <c r="I115" s="277" t="s">
        <v>1141</v>
      </c>
      <c r="J115" s="278" t="s">
        <v>1141</v>
      </c>
      <c r="K115" s="262" t="s">
        <v>1207</v>
      </c>
    </row>
    <row r="116" spans="1:11" x14ac:dyDescent="0.35">
      <c r="A116" s="207" t="s">
        <v>1761</v>
      </c>
      <c r="B116" s="208" t="s">
        <v>1647</v>
      </c>
      <c r="C116" s="207" t="s">
        <v>883</v>
      </c>
      <c r="D116" s="195">
        <f>D95</f>
        <v>0.91899999999999993</v>
      </c>
      <c r="E116" s="196">
        <f>E95</f>
        <v>0.31802572893818931</v>
      </c>
      <c r="F116" s="196">
        <f t="shared" ref="F116" si="67">F95</f>
        <v>1.99</v>
      </c>
      <c r="G116" s="196">
        <f t="shared" ref="G116" si="68">G95</f>
        <v>0</v>
      </c>
      <c r="H116" s="197"/>
      <c r="I116" s="277" t="s">
        <v>1141</v>
      </c>
      <c r="J116" s="278" t="s">
        <v>1141</v>
      </c>
      <c r="K116" s="262" t="s">
        <v>1207</v>
      </c>
    </row>
    <row r="117" spans="1:11" x14ac:dyDescent="0.35">
      <c r="A117" s="207" t="s">
        <v>1820</v>
      </c>
      <c r="B117" s="208" t="s">
        <v>1648</v>
      </c>
      <c r="C117" s="207" t="s">
        <v>883</v>
      </c>
      <c r="D117" s="195">
        <f>D95</f>
        <v>0.91899999999999993</v>
      </c>
      <c r="E117" s="196">
        <f>E95</f>
        <v>0.31802572893818931</v>
      </c>
      <c r="F117" s="196">
        <f t="shared" ref="F117" si="69">F95</f>
        <v>1.99</v>
      </c>
      <c r="G117" s="196">
        <f t="shared" ref="G117" si="70">G95</f>
        <v>0</v>
      </c>
      <c r="H117" s="197"/>
      <c r="I117" s="277" t="s">
        <v>1141</v>
      </c>
      <c r="J117" s="278" t="s">
        <v>1141</v>
      </c>
      <c r="K117" s="262" t="s">
        <v>1759</v>
      </c>
    </row>
    <row r="118" spans="1:11" x14ac:dyDescent="0.35">
      <c r="A118" s="207" t="s">
        <v>1651</v>
      </c>
      <c r="B118" s="208" t="s">
        <v>1650</v>
      </c>
      <c r="C118" s="207" t="s">
        <v>20</v>
      </c>
      <c r="D118" s="195">
        <f>D20</f>
        <v>1.6600000000000001</v>
      </c>
      <c r="E118" s="196">
        <f>E20</f>
        <v>0.78399999999999914</v>
      </c>
      <c r="F118" s="196">
        <f>F20</f>
        <v>1.1828918321666666</v>
      </c>
      <c r="G118" s="196">
        <f>G20</f>
        <v>0.26873200895333327</v>
      </c>
      <c r="H118" s="197"/>
      <c r="I118" s="277" t="s">
        <v>857</v>
      </c>
      <c r="J118" s="278" t="s">
        <v>857</v>
      </c>
      <c r="K118" s="262" t="s">
        <v>1727</v>
      </c>
    </row>
    <row r="119" spans="1:11" x14ac:dyDescent="0.35">
      <c r="A119" s="207" t="s">
        <v>1649</v>
      </c>
      <c r="B119" s="208" t="s">
        <v>1650</v>
      </c>
      <c r="C119" s="207" t="s">
        <v>34</v>
      </c>
      <c r="D119" s="195">
        <f>D20</f>
        <v>1.6600000000000001</v>
      </c>
      <c r="E119" s="196">
        <f>E20</f>
        <v>0.78399999999999914</v>
      </c>
      <c r="F119" s="196">
        <f>F20</f>
        <v>1.1828918321666666</v>
      </c>
      <c r="G119" s="196">
        <f>G20</f>
        <v>0.26873200895333327</v>
      </c>
      <c r="H119" s="197"/>
      <c r="I119" s="277" t="s">
        <v>857</v>
      </c>
      <c r="J119" s="278" t="s">
        <v>857</v>
      </c>
      <c r="K119" s="262" t="s">
        <v>1727</v>
      </c>
    </row>
    <row r="120" spans="1:11" x14ac:dyDescent="0.35">
      <c r="A120" s="207" t="s">
        <v>1760</v>
      </c>
      <c r="B120" s="208" t="s">
        <v>1650</v>
      </c>
      <c r="C120" s="207" t="s">
        <v>883</v>
      </c>
      <c r="D120" s="195">
        <f>D95</f>
        <v>0.91899999999999993</v>
      </c>
      <c r="E120" s="196">
        <f>E95</f>
        <v>0.31802572893818931</v>
      </c>
      <c r="F120" s="196">
        <f t="shared" ref="F120" si="71">F95</f>
        <v>1.99</v>
      </c>
      <c r="G120" s="196">
        <f t="shared" ref="G120" si="72">G95</f>
        <v>0</v>
      </c>
      <c r="H120" s="197"/>
      <c r="I120" s="277" t="s">
        <v>1141</v>
      </c>
      <c r="J120" s="278" t="s">
        <v>1141</v>
      </c>
      <c r="K120" s="262" t="s">
        <v>1759</v>
      </c>
    </row>
    <row r="121" spans="1:11" x14ac:dyDescent="0.35">
      <c r="A121" s="188" t="s">
        <v>924</v>
      </c>
      <c r="B121" s="206" t="s">
        <v>510</v>
      </c>
      <c r="C121" s="188" t="s">
        <v>359</v>
      </c>
      <c r="D121" s="195">
        <f>D124</f>
        <v>0.93249999999999988</v>
      </c>
      <c r="E121" s="196">
        <f>E124</f>
        <v>0.27930000000000027</v>
      </c>
      <c r="F121" s="196">
        <f>'Coral growth rates and density'!M219</f>
        <v>1.38</v>
      </c>
      <c r="G121" s="196">
        <f>1.96*'Coral growth rates and density'!N219</f>
        <v>0</v>
      </c>
      <c r="H121" s="197">
        <f>AVERAGE(0.19,0.364,0.141,0.327)</f>
        <v>0.2555</v>
      </c>
      <c r="I121" s="275" t="s">
        <v>926</v>
      </c>
      <c r="J121" s="276"/>
      <c r="K121" s="262" t="s">
        <v>1758</v>
      </c>
    </row>
    <row r="122" spans="1:11" x14ac:dyDescent="0.35">
      <c r="A122" s="188" t="s">
        <v>1189</v>
      </c>
      <c r="B122" s="206" t="s">
        <v>510</v>
      </c>
      <c r="C122" s="188" t="s">
        <v>338</v>
      </c>
      <c r="D122" s="195">
        <f>'Coral growth rates and density'!I216</f>
        <v>0.93249999999999988</v>
      </c>
      <c r="E122" s="196">
        <f>1.96*'Coral growth rates and density'!J216</f>
        <v>0.27930000000000027</v>
      </c>
      <c r="F122" s="196">
        <f>'Coral growth rates and density'!M216</f>
        <v>1.2466666666666668</v>
      </c>
      <c r="G122" s="196">
        <f>1.96*'Coral growth rates and density'!N216</f>
        <v>0.24173333333333238</v>
      </c>
      <c r="H122" s="201"/>
      <c r="I122" s="277"/>
      <c r="J122" s="278"/>
      <c r="K122" s="262"/>
    </row>
    <row r="123" spans="1:11" x14ac:dyDescent="0.35">
      <c r="A123" s="188" t="s">
        <v>925</v>
      </c>
      <c r="B123" s="206" t="s">
        <v>510</v>
      </c>
      <c r="C123" s="188" t="s">
        <v>20</v>
      </c>
      <c r="D123" s="196">
        <f>D124</f>
        <v>0.93249999999999988</v>
      </c>
      <c r="E123" s="196">
        <f>E124</f>
        <v>0.27930000000000027</v>
      </c>
      <c r="F123" s="196">
        <f>'Coral growth rates and density'!M218</f>
        <v>1.4</v>
      </c>
      <c r="G123" s="196">
        <f>1.96*'Coral growth rates and density'!N218</f>
        <v>5.8800000000000054E-2</v>
      </c>
      <c r="H123" s="197"/>
      <c r="I123" s="275" t="s">
        <v>926</v>
      </c>
      <c r="J123" s="276"/>
      <c r="K123" s="262"/>
    </row>
    <row r="124" spans="1:11" x14ac:dyDescent="0.35">
      <c r="A124" s="188" t="s">
        <v>926</v>
      </c>
      <c r="B124" s="206" t="s">
        <v>510</v>
      </c>
      <c r="C124" s="188" t="s">
        <v>82</v>
      </c>
      <c r="D124" s="195">
        <f>'Coral growth rates and density'!I216</f>
        <v>0.93249999999999988</v>
      </c>
      <c r="E124" s="196">
        <f>1.96*'Coral growth rates and density'!J216</f>
        <v>0.27930000000000027</v>
      </c>
      <c r="F124" s="196">
        <f>'Coral growth rates and density'!M216</f>
        <v>1.2466666666666668</v>
      </c>
      <c r="G124" s="196">
        <f>1.96*'Coral growth rates and density'!N216</f>
        <v>0.24173333333333238</v>
      </c>
      <c r="H124" s="197"/>
      <c r="I124" s="277"/>
      <c r="J124" s="278"/>
      <c r="K124" s="262"/>
    </row>
    <row r="125" spans="1:11" x14ac:dyDescent="0.35">
      <c r="A125" s="188" t="s">
        <v>927</v>
      </c>
      <c r="B125" s="206" t="s">
        <v>510</v>
      </c>
      <c r="C125" s="188" t="s">
        <v>508</v>
      </c>
      <c r="D125" s="195">
        <f>D124</f>
        <v>0.93249999999999988</v>
      </c>
      <c r="E125" s="196">
        <f>E124</f>
        <v>0.27930000000000027</v>
      </c>
      <c r="F125" s="196">
        <f>F123</f>
        <v>1.4</v>
      </c>
      <c r="G125" s="196">
        <f>G123</f>
        <v>5.8800000000000054E-2</v>
      </c>
      <c r="H125" s="197"/>
      <c r="I125" s="277" t="s">
        <v>926</v>
      </c>
      <c r="J125" s="278" t="s">
        <v>925</v>
      </c>
      <c r="K125" s="262" t="s">
        <v>1794</v>
      </c>
    </row>
    <row r="126" spans="1:11" x14ac:dyDescent="0.35">
      <c r="A126" s="188" t="s">
        <v>928</v>
      </c>
      <c r="B126" s="206" t="s">
        <v>510</v>
      </c>
      <c r="C126" s="188" t="s">
        <v>34</v>
      </c>
      <c r="D126" s="195">
        <f>'Coral growth rates and density'!I216</f>
        <v>0.93249999999999988</v>
      </c>
      <c r="E126" s="196">
        <f>1.96*'Coral growth rates and density'!J216</f>
        <v>0.27930000000000027</v>
      </c>
      <c r="F126" s="196">
        <f>'Coral growth rates and density'!M216</f>
        <v>1.2466666666666668</v>
      </c>
      <c r="G126" s="196">
        <f>1.96*'Coral growth rates and density'!N216</f>
        <v>0.24173333333333238</v>
      </c>
      <c r="H126" s="197"/>
      <c r="I126" s="277"/>
      <c r="J126" s="278"/>
      <c r="K126" s="262"/>
    </row>
    <row r="127" spans="1:11" x14ac:dyDescent="0.35">
      <c r="A127" s="188" t="s">
        <v>1193</v>
      </c>
      <c r="B127" s="206" t="s">
        <v>1192</v>
      </c>
      <c r="C127" s="188" t="s">
        <v>359</v>
      </c>
      <c r="D127" s="195">
        <f>'Coral growth rates and density'!I225</f>
        <v>1.6374999999999997</v>
      </c>
      <c r="E127" s="196">
        <f>1.96*'Coral growth rates and density'!J225</f>
        <v>0.19210249868234591</v>
      </c>
      <c r="F127" s="196">
        <f>'Coral growth rates and density'!M225</f>
        <v>1.6199999999999999</v>
      </c>
      <c r="G127" s="196">
        <f>1.96*'Coral growth rates and density'!N225</f>
        <v>8.8381295155328665E-2</v>
      </c>
      <c r="H127" s="197">
        <f>AVERAGE(0.19,0.364,0.141,0.327)</f>
        <v>0.2555</v>
      </c>
      <c r="I127" s="277"/>
      <c r="J127" s="278"/>
      <c r="K127" s="262"/>
    </row>
    <row r="128" spans="1:11" x14ac:dyDescent="0.35">
      <c r="A128" s="188" t="s">
        <v>1194</v>
      </c>
      <c r="B128" s="206" t="s">
        <v>1192</v>
      </c>
      <c r="C128" s="188" t="s">
        <v>338</v>
      </c>
      <c r="D128" s="195">
        <f>D12</f>
        <v>1.1068666666666667</v>
      </c>
      <c r="E128" s="196">
        <f>E12</f>
        <v>0.11630500465777238</v>
      </c>
      <c r="F128" s="196">
        <f>F127</f>
        <v>1.6199999999999999</v>
      </c>
      <c r="G128" s="196">
        <f>G127</f>
        <v>8.8381295155328665E-2</v>
      </c>
      <c r="H128" s="201"/>
      <c r="I128" s="277" t="s">
        <v>849</v>
      </c>
      <c r="J128" s="278" t="s">
        <v>1069</v>
      </c>
      <c r="K128" s="262"/>
    </row>
    <row r="129" spans="1:11" x14ac:dyDescent="0.35">
      <c r="A129" s="188" t="s">
        <v>1193</v>
      </c>
      <c r="B129" s="206" t="s">
        <v>1192</v>
      </c>
      <c r="C129" s="188" t="s">
        <v>20</v>
      </c>
      <c r="D129" s="195">
        <f>'Coral growth rates and density'!I228</f>
        <v>1.6082158946644167</v>
      </c>
      <c r="E129" s="196">
        <f>1.96*'Coral growth rates and density'!J228</f>
        <v>0.25617007886094589</v>
      </c>
      <c r="F129" s="196">
        <f>F127</f>
        <v>1.6199999999999999</v>
      </c>
      <c r="G129" s="196">
        <f>G127</f>
        <v>8.8381295155328665E-2</v>
      </c>
      <c r="H129" s="197"/>
      <c r="I129" s="277"/>
      <c r="J129" s="278" t="s">
        <v>1069</v>
      </c>
      <c r="K129" s="262"/>
    </row>
    <row r="130" spans="1:11" x14ac:dyDescent="0.35">
      <c r="A130" s="188" t="s">
        <v>1195</v>
      </c>
      <c r="B130" s="206" t="s">
        <v>1192</v>
      </c>
      <c r="C130" s="188" t="s">
        <v>508</v>
      </c>
      <c r="D130" s="195">
        <f>D129</f>
        <v>1.6082158946644167</v>
      </c>
      <c r="E130" s="196">
        <f>E129</f>
        <v>0.25617007886094589</v>
      </c>
      <c r="F130" s="196">
        <f t="shared" ref="F130" si="73">F129</f>
        <v>1.6199999999999999</v>
      </c>
      <c r="G130" s="196">
        <f t="shared" ref="G130" si="74">G129</f>
        <v>8.8381295155328665E-2</v>
      </c>
      <c r="H130" s="197"/>
      <c r="I130" s="277" t="s">
        <v>1193</v>
      </c>
      <c r="J130" s="278" t="s">
        <v>1069</v>
      </c>
      <c r="K130" s="262" t="s">
        <v>1776</v>
      </c>
    </row>
    <row r="131" spans="1:11" x14ac:dyDescent="0.35">
      <c r="A131" s="188" t="s">
        <v>1196</v>
      </c>
      <c r="B131" s="206" t="s">
        <v>1192</v>
      </c>
      <c r="C131" s="188" t="s">
        <v>34</v>
      </c>
      <c r="D131" s="195">
        <f>D127</f>
        <v>1.6374999999999997</v>
      </c>
      <c r="E131" s="196">
        <f>E127</f>
        <v>0.19210249868234591</v>
      </c>
      <c r="F131" s="196">
        <f>F127</f>
        <v>1.6199999999999999</v>
      </c>
      <c r="G131" s="196">
        <f>G127</f>
        <v>8.8381295155328665E-2</v>
      </c>
      <c r="H131" s="197"/>
      <c r="I131" s="277" t="s">
        <v>1069</v>
      </c>
      <c r="J131" s="278" t="s">
        <v>1069</v>
      </c>
      <c r="K131" s="262"/>
    </row>
    <row r="132" spans="1:11" x14ac:dyDescent="0.35">
      <c r="A132" s="188" t="s">
        <v>929</v>
      </c>
      <c r="B132" s="206" t="s">
        <v>33</v>
      </c>
      <c r="C132" s="188" t="s">
        <v>20</v>
      </c>
      <c r="D132" s="195">
        <f>'Coral growth rates and density'!I232</f>
        <v>0.83953826366344109</v>
      </c>
      <c r="E132" s="196">
        <f>1.96*'Coral growth rates and density'!J232</f>
        <v>0.32157542503273989</v>
      </c>
      <c r="F132" s="196">
        <f>'Coral growth rates and density'!M232</f>
        <v>1.63</v>
      </c>
      <c r="G132" s="196">
        <f>1.96*'Coral growth rates and density'!N232</f>
        <v>0.31684982773126663</v>
      </c>
      <c r="H132" s="197"/>
      <c r="I132" s="277"/>
      <c r="J132" s="278"/>
      <c r="K132" s="262"/>
    </row>
    <row r="133" spans="1:11" x14ac:dyDescent="0.35">
      <c r="A133" s="188" t="s">
        <v>930</v>
      </c>
      <c r="B133" s="206" t="s">
        <v>33</v>
      </c>
      <c r="C133" s="188" t="s">
        <v>82</v>
      </c>
      <c r="D133" s="195">
        <f>'Coral growth rates and density'!I234</f>
        <v>0.45876118914901526</v>
      </c>
      <c r="E133" s="196">
        <f>1.96*'Coral growth rates and density'!J234</f>
        <v>4.2437786540987343E-2</v>
      </c>
      <c r="F133" s="196">
        <f t="shared" ref="F133" si="75">F132</f>
        <v>1.63</v>
      </c>
      <c r="G133" s="196">
        <f t="shared" ref="G133" si="76">G132</f>
        <v>0.31684982773126663</v>
      </c>
      <c r="H133" s="197"/>
      <c r="I133" s="275"/>
      <c r="J133" s="276" t="s">
        <v>929</v>
      </c>
      <c r="K133" s="262"/>
    </row>
    <row r="134" spans="1:11" x14ac:dyDescent="0.35">
      <c r="A134" s="188" t="s">
        <v>931</v>
      </c>
      <c r="B134" s="206" t="s">
        <v>932</v>
      </c>
      <c r="C134" s="188" t="s">
        <v>20</v>
      </c>
      <c r="D134" s="195">
        <f>D135</f>
        <v>1.06</v>
      </c>
      <c r="E134" s="196">
        <f>E135</f>
        <v>0.42139999999999994</v>
      </c>
      <c r="F134" s="196">
        <f>F13</f>
        <v>1.4628419045982679</v>
      </c>
      <c r="G134" s="196">
        <f>G13</f>
        <v>0.16795432994976825</v>
      </c>
      <c r="H134" s="197"/>
      <c r="I134" s="275" t="s">
        <v>933</v>
      </c>
      <c r="J134" s="276" t="s">
        <v>1840</v>
      </c>
      <c r="K134" s="262"/>
    </row>
    <row r="135" spans="1:11" x14ac:dyDescent="0.35">
      <c r="A135" s="188" t="s">
        <v>933</v>
      </c>
      <c r="B135" s="206" t="s">
        <v>932</v>
      </c>
      <c r="C135" s="188" t="s">
        <v>82</v>
      </c>
      <c r="D135" s="195">
        <f>'Coral growth rates and density'!I236</f>
        <v>1.06</v>
      </c>
      <c r="E135" s="196">
        <f>1.96*'Coral growth rates and density'!J236</f>
        <v>0.42139999999999994</v>
      </c>
      <c r="F135" s="196">
        <f>'Coral growth rates and density'!M236</f>
        <v>0.88</v>
      </c>
      <c r="G135" s="196">
        <f>1.96*'Coral growth rates and density'!N236</f>
        <v>0.16660000000000003</v>
      </c>
      <c r="H135" s="197"/>
      <c r="I135" s="275"/>
      <c r="J135" s="276"/>
      <c r="K135" s="262"/>
    </row>
    <row r="136" spans="1:11" x14ac:dyDescent="0.35">
      <c r="A136" s="188" t="s">
        <v>934</v>
      </c>
      <c r="B136" s="206" t="s">
        <v>932</v>
      </c>
      <c r="C136" s="188" t="s">
        <v>34</v>
      </c>
      <c r="D136" s="195">
        <f>D135</f>
        <v>1.06</v>
      </c>
      <c r="E136" s="196">
        <f>E135</f>
        <v>0.42139999999999994</v>
      </c>
      <c r="F136" s="196">
        <f t="shared" ref="F136" si="77">F135</f>
        <v>0.88</v>
      </c>
      <c r="G136" s="196">
        <f t="shared" ref="G136" si="78">G135</f>
        <v>0.16660000000000003</v>
      </c>
      <c r="H136" s="197"/>
      <c r="I136" s="275" t="s">
        <v>933</v>
      </c>
      <c r="J136" s="276" t="s">
        <v>933</v>
      </c>
      <c r="K136" s="262"/>
    </row>
    <row r="137" spans="1:11" x14ac:dyDescent="0.35">
      <c r="A137" s="188" t="s">
        <v>935</v>
      </c>
      <c r="B137" s="206" t="s">
        <v>646</v>
      </c>
      <c r="C137" s="188" t="s">
        <v>20</v>
      </c>
      <c r="D137" s="195">
        <f>D13</f>
        <v>1.2406808404987837</v>
      </c>
      <c r="E137" s="196">
        <f>E13</f>
        <v>0.23356698971471701</v>
      </c>
      <c r="F137" s="196">
        <f>F13</f>
        <v>1.4628419045982679</v>
      </c>
      <c r="G137" s="196">
        <f>G13</f>
        <v>0.16795432994976825</v>
      </c>
      <c r="H137" s="197"/>
      <c r="I137" s="275" t="s">
        <v>850</v>
      </c>
      <c r="J137" s="276" t="s">
        <v>850</v>
      </c>
      <c r="K137" s="262"/>
    </row>
    <row r="138" spans="1:11" x14ac:dyDescent="0.35">
      <c r="A138" s="188" t="s">
        <v>936</v>
      </c>
      <c r="B138" s="206" t="s">
        <v>646</v>
      </c>
      <c r="C138" s="188" t="s">
        <v>1198</v>
      </c>
      <c r="D138" s="195">
        <f>'Coral growth rates and density'!I237</f>
        <v>1.9679999999999997</v>
      </c>
      <c r="E138" s="196">
        <f>1.96*'Coral growth rates and density'!J237</f>
        <v>0.65856000000000003</v>
      </c>
      <c r="F138" s="196">
        <f>F14</f>
        <v>1.3963053641313035</v>
      </c>
      <c r="G138" s="196">
        <f>G14</f>
        <v>0.18318860373546536</v>
      </c>
      <c r="H138" s="197"/>
      <c r="I138" s="277"/>
      <c r="J138" s="278" t="s">
        <v>851</v>
      </c>
      <c r="K138" s="262"/>
    </row>
    <row r="139" spans="1:11" x14ac:dyDescent="0.35">
      <c r="A139" s="188" t="s">
        <v>937</v>
      </c>
      <c r="B139" s="206" t="s">
        <v>646</v>
      </c>
      <c r="C139" s="188" t="s">
        <v>508</v>
      </c>
      <c r="D139" s="195">
        <f>D138</f>
        <v>1.9679999999999997</v>
      </c>
      <c r="E139" s="196">
        <f>E138</f>
        <v>0.65856000000000003</v>
      </c>
      <c r="F139" s="196">
        <f t="shared" ref="F139" si="79">F138</f>
        <v>1.3963053641313035</v>
      </c>
      <c r="G139" s="196">
        <f t="shared" ref="G139" si="80">G138</f>
        <v>0.18318860373546536</v>
      </c>
      <c r="H139" s="197"/>
      <c r="I139" s="275" t="s">
        <v>936</v>
      </c>
      <c r="J139" s="276" t="s">
        <v>936</v>
      </c>
      <c r="K139" s="262"/>
    </row>
    <row r="140" spans="1:11" x14ac:dyDescent="0.35">
      <c r="A140" s="207" t="s">
        <v>1652</v>
      </c>
      <c r="B140" s="208" t="s">
        <v>1653</v>
      </c>
      <c r="C140" s="207" t="s">
        <v>20</v>
      </c>
      <c r="D140" s="195">
        <f>'Coral growth rates and density'!I239</f>
        <v>0.44</v>
      </c>
      <c r="E140" s="196">
        <f>1.96*'Coral growth rates and density'!J239</f>
        <v>6.8600000000000008E-2</v>
      </c>
      <c r="F140" s="196">
        <f>'Coral growth rates and density'!M239</f>
        <v>1.61</v>
      </c>
      <c r="G140" s="196">
        <f>1.96*'Coral growth rates and density'!N239</f>
        <v>0.16659999999999991</v>
      </c>
      <c r="H140" s="197"/>
      <c r="I140" s="275"/>
      <c r="J140" s="276"/>
      <c r="K140" s="262"/>
    </row>
    <row r="141" spans="1:11" x14ac:dyDescent="0.35">
      <c r="A141" s="207" t="s">
        <v>1654</v>
      </c>
      <c r="B141" s="208" t="s">
        <v>1653</v>
      </c>
      <c r="C141" s="207" t="s">
        <v>883</v>
      </c>
      <c r="D141" s="195">
        <f>D95</f>
        <v>0.91899999999999993</v>
      </c>
      <c r="E141" s="196">
        <f>E95</f>
        <v>0.31802572893818931</v>
      </c>
      <c r="F141" s="196">
        <f t="shared" ref="F141" si="81">F95</f>
        <v>1.99</v>
      </c>
      <c r="G141" s="196">
        <f t="shared" ref="G141" si="82">G95</f>
        <v>0</v>
      </c>
      <c r="H141" s="197"/>
      <c r="I141" s="275" t="s">
        <v>1141</v>
      </c>
      <c r="J141" s="276" t="s">
        <v>1141</v>
      </c>
      <c r="K141" s="262" t="s">
        <v>1207</v>
      </c>
    </row>
    <row r="142" spans="1:11" x14ac:dyDescent="0.35">
      <c r="A142" s="207" t="s">
        <v>1821</v>
      </c>
      <c r="B142" s="208" t="s">
        <v>1655</v>
      </c>
      <c r="C142" s="207" t="s">
        <v>883</v>
      </c>
      <c r="D142" s="195">
        <f>D95</f>
        <v>0.91899999999999993</v>
      </c>
      <c r="E142" s="196">
        <f>E95</f>
        <v>0.31802572893818931</v>
      </c>
      <c r="F142" s="196">
        <f t="shared" ref="F142" si="83">F95</f>
        <v>1.99</v>
      </c>
      <c r="G142" s="196">
        <f t="shared" ref="G142" si="84">G95</f>
        <v>0</v>
      </c>
      <c r="H142" s="197"/>
      <c r="I142" s="275" t="s">
        <v>1141</v>
      </c>
      <c r="J142" s="276" t="s">
        <v>1141</v>
      </c>
      <c r="K142" s="262" t="s">
        <v>1207</v>
      </c>
    </row>
    <row r="143" spans="1:11" x14ac:dyDescent="0.35">
      <c r="A143" s="188" t="s">
        <v>938</v>
      </c>
      <c r="B143" s="206" t="s">
        <v>562</v>
      </c>
      <c r="C143" s="188" t="s">
        <v>20</v>
      </c>
      <c r="D143" s="195">
        <f>D144</f>
        <v>1.0231704741233698</v>
      </c>
      <c r="E143" s="196">
        <f>E144</f>
        <v>0.43478057324390612</v>
      </c>
      <c r="F143" s="196">
        <f>'Coral growth rates and density'!M247</f>
        <v>1.53</v>
      </c>
      <c r="G143" s="196">
        <f>1.96*'Coral growth rates and density'!N247</f>
        <v>0</v>
      </c>
      <c r="H143" s="197"/>
      <c r="I143" s="275" t="s">
        <v>939</v>
      </c>
      <c r="J143" s="276"/>
      <c r="K143" s="260"/>
    </row>
    <row r="144" spans="1:11" x14ac:dyDescent="0.35">
      <c r="A144" s="188" t="s">
        <v>939</v>
      </c>
      <c r="B144" s="206" t="s">
        <v>562</v>
      </c>
      <c r="C144" s="188" t="s">
        <v>82</v>
      </c>
      <c r="D144" s="195">
        <f>'Coral growth rates and density'!I245</f>
        <v>1.0231704741233698</v>
      </c>
      <c r="E144" s="196">
        <f>1.96*'Coral growth rates and density'!J245</f>
        <v>0.43478057324390612</v>
      </c>
      <c r="F144" s="196">
        <f>'Coral growth rates and density'!M245</f>
        <v>1.1283614541628804</v>
      </c>
      <c r="G144" s="196">
        <f>1.96*'Coral growth rates and density'!N245</f>
        <v>0.11867547841216843</v>
      </c>
      <c r="H144" s="197">
        <v>1</v>
      </c>
      <c r="I144" s="275"/>
      <c r="J144" s="276"/>
      <c r="K144" s="246" t="s">
        <v>1846</v>
      </c>
    </row>
    <row r="145" spans="1:17" x14ac:dyDescent="0.35">
      <c r="A145" s="188" t="s">
        <v>1427</v>
      </c>
      <c r="B145" s="188" t="s">
        <v>1428</v>
      </c>
      <c r="C145" s="188" t="s">
        <v>1318</v>
      </c>
      <c r="D145" s="202"/>
      <c r="E145" s="203"/>
      <c r="F145" s="203"/>
      <c r="G145" s="203"/>
      <c r="H145" s="209"/>
      <c r="I145" s="275"/>
      <c r="J145" s="276"/>
      <c r="K145" s="262"/>
    </row>
    <row r="146" spans="1:17" x14ac:dyDescent="0.35">
      <c r="A146" s="188" t="s">
        <v>1429</v>
      </c>
      <c r="B146" s="188" t="s">
        <v>1430</v>
      </c>
      <c r="C146" s="188" t="s">
        <v>1318</v>
      </c>
      <c r="D146" s="202"/>
      <c r="E146" s="203"/>
      <c r="F146" s="203"/>
      <c r="G146" s="203"/>
      <c r="H146" s="209"/>
      <c r="I146" s="275"/>
      <c r="J146" s="276"/>
      <c r="K146" s="262"/>
    </row>
    <row r="147" spans="1:17" x14ac:dyDescent="0.35">
      <c r="A147" s="188" t="s">
        <v>1431</v>
      </c>
      <c r="B147" s="188" t="s">
        <v>1432</v>
      </c>
      <c r="C147" s="188" t="s">
        <v>810</v>
      </c>
      <c r="D147" s="195">
        <f>D52</f>
        <v>3.9577149122807027E-2</v>
      </c>
      <c r="E147" s="196">
        <f>E52</f>
        <v>1.7191643133031557E-2</v>
      </c>
      <c r="F147" s="200"/>
      <c r="G147" s="200"/>
      <c r="H147" s="201"/>
      <c r="I147" s="275"/>
      <c r="J147" s="276"/>
      <c r="K147" s="262"/>
    </row>
    <row r="148" spans="1:17" x14ac:dyDescent="0.35">
      <c r="A148" s="188" t="s">
        <v>940</v>
      </c>
      <c r="B148" s="206" t="s">
        <v>499</v>
      </c>
      <c r="C148" s="188" t="s">
        <v>20</v>
      </c>
      <c r="D148" s="195">
        <f>D149</f>
        <v>2.37</v>
      </c>
      <c r="E148" s="196">
        <f>E149</f>
        <v>0.69027998184311634</v>
      </c>
      <c r="F148" s="196">
        <f>F149</f>
        <v>1.6099999999999999</v>
      </c>
      <c r="G148" s="196">
        <f>G149</f>
        <v>0.15679999999999991</v>
      </c>
      <c r="H148" s="197"/>
      <c r="I148" s="275" t="s">
        <v>941</v>
      </c>
      <c r="J148" s="276" t="s">
        <v>941</v>
      </c>
      <c r="K148" s="262" t="s">
        <v>1227</v>
      </c>
    </row>
    <row r="149" spans="1:17" x14ac:dyDescent="0.35">
      <c r="A149" s="188" t="s">
        <v>941</v>
      </c>
      <c r="B149" s="206" t="s">
        <v>499</v>
      </c>
      <c r="C149" s="188" t="s">
        <v>508</v>
      </c>
      <c r="D149" s="195">
        <f>'Coral growth rates and density'!I253</f>
        <v>2.37</v>
      </c>
      <c r="E149" s="196">
        <f>1.96*'Coral growth rates and density'!J253</f>
        <v>0.69027998184311634</v>
      </c>
      <c r="F149" s="196">
        <f>'Coral growth rates and density'!M253</f>
        <v>1.6099999999999999</v>
      </c>
      <c r="G149" s="196">
        <f>1.96*'Coral growth rates and density'!N253</f>
        <v>0.15679999999999991</v>
      </c>
      <c r="H149" s="197"/>
      <c r="I149" s="277"/>
      <c r="J149" s="278"/>
      <c r="K149" s="262" t="s">
        <v>1227</v>
      </c>
    </row>
    <row r="150" spans="1:17" x14ac:dyDescent="0.35">
      <c r="A150" s="207" t="s">
        <v>1657</v>
      </c>
      <c r="B150" s="208" t="s">
        <v>1656</v>
      </c>
      <c r="C150" s="207" t="s">
        <v>20</v>
      </c>
      <c r="D150" s="195">
        <f t="shared" ref="D150:F151" si="85">D19</f>
        <v>1.6600000000000001</v>
      </c>
      <c r="E150" s="196">
        <f t="shared" ref="E150" si="86">E19</f>
        <v>0.78399999999999914</v>
      </c>
      <c r="F150" s="196">
        <f t="shared" si="85"/>
        <v>1.1828918321666666</v>
      </c>
      <c r="G150" s="196">
        <f t="shared" ref="G150" si="87">G19</f>
        <v>0.26873200895333327</v>
      </c>
      <c r="H150" s="197"/>
      <c r="I150" s="277" t="s">
        <v>857</v>
      </c>
      <c r="J150" s="278" t="s">
        <v>857</v>
      </c>
      <c r="K150" s="262"/>
    </row>
    <row r="151" spans="1:17" x14ac:dyDescent="0.35">
      <c r="A151" s="207" t="s">
        <v>1814</v>
      </c>
      <c r="B151" s="208" t="s">
        <v>1656</v>
      </c>
      <c r="C151" s="207" t="s">
        <v>34</v>
      </c>
      <c r="D151" s="195">
        <f t="shared" si="85"/>
        <v>1.6600000000000001</v>
      </c>
      <c r="E151" s="196">
        <f t="shared" ref="E151" si="88">E20</f>
        <v>0.78399999999999914</v>
      </c>
      <c r="F151" s="196">
        <f t="shared" si="85"/>
        <v>1.1828918321666666</v>
      </c>
      <c r="G151" s="196">
        <f t="shared" ref="G151" si="89">G20</f>
        <v>0.26873200895333327</v>
      </c>
      <c r="H151" s="197"/>
      <c r="I151" s="277" t="s">
        <v>857</v>
      </c>
      <c r="J151" s="278" t="s">
        <v>857</v>
      </c>
      <c r="K151" s="262"/>
    </row>
    <row r="152" spans="1:17" x14ac:dyDescent="0.35">
      <c r="A152" s="188" t="s">
        <v>1027</v>
      </c>
      <c r="B152" s="206" t="s">
        <v>459</v>
      </c>
      <c r="C152" s="188" t="s">
        <v>359</v>
      </c>
      <c r="D152" s="195">
        <f>'Coral growth rates and density'!I256</f>
        <v>1.85</v>
      </c>
      <c r="E152" s="196">
        <f>1.96*'Coral growth rates and density'!J256</f>
        <v>0.24538017562190162</v>
      </c>
      <c r="F152" s="196">
        <f>'Coral growth rates and density'!M256</f>
        <v>1.51</v>
      </c>
      <c r="G152" s="196">
        <f>1.96*'Coral growth rates and density'!N256</f>
        <v>0</v>
      </c>
      <c r="H152" s="197">
        <f>AVERAGE(0.19,0.364,0.141,0.327)</f>
        <v>0.2555</v>
      </c>
      <c r="I152" s="277"/>
      <c r="J152" s="278"/>
      <c r="K152" s="262"/>
    </row>
    <row r="153" spans="1:17" x14ac:dyDescent="0.35">
      <c r="A153" s="188" t="s">
        <v>1026</v>
      </c>
      <c r="B153" s="206" t="s">
        <v>459</v>
      </c>
      <c r="C153" s="188" t="s">
        <v>20</v>
      </c>
      <c r="D153" s="195">
        <f>'Coral growth rates and density'!I256</f>
        <v>1.85</v>
      </c>
      <c r="E153" s="196">
        <f>1.96*'Coral growth rates and density'!J256</f>
        <v>0.24538017562190162</v>
      </c>
      <c r="F153" s="196">
        <f>'Coral growth rates and density'!M256</f>
        <v>1.51</v>
      </c>
      <c r="G153" s="196">
        <f>1.96*'Coral growth rates and density'!N256</f>
        <v>0</v>
      </c>
      <c r="H153" s="197"/>
      <c r="I153" s="277"/>
      <c r="J153" s="278"/>
      <c r="K153" s="262"/>
    </row>
    <row r="154" spans="1:17" x14ac:dyDescent="0.35">
      <c r="A154" s="215" t="s">
        <v>942</v>
      </c>
      <c r="B154" s="216" t="s">
        <v>1807</v>
      </c>
      <c r="C154" s="215" t="s">
        <v>338</v>
      </c>
      <c r="D154" s="195">
        <f t="shared" ref="D154:F157" si="90">D35</f>
        <v>0.26</v>
      </c>
      <c r="E154" s="196">
        <f t="shared" ref="E154" si="91">E35</f>
        <v>1.9600000000000017E-2</v>
      </c>
      <c r="F154" s="196">
        <f t="shared" si="90"/>
        <v>1.2004636652361285</v>
      </c>
      <c r="G154" s="196">
        <f t="shared" ref="G154" si="92">G35</f>
        <v>8.9478605771911329E-2</v>
      </c>
      <c r="H154" s="201"/>
      <c r="I154" s="275" t="s">
        <v>872</v>
      </c>
      <c r="J154" s="276" t="s">
        <v>849</v>
      </c>
      <c r="K154" s="262" t="s">
        <v>1808</v>
      </c>
      <c r="L154" s="194"/>
      <c r="M154" s="194"/>
      <c r="N154" s="194"/>
      <c r="O154" s="194"/>
      <c r="P154" s="194"/>
      <c r="Q154" s="194"/>
    </row>
    <row r="155" spans="1:17" x14ac:dyDescent="0.35">
      <c r="A155" s="215" t="s">
        <v>943</v>
      </c>
      <c r="B155" s="216" t="s">
        <v>1807</v>
      </c>
      <c r="C155" s="215" t="s">
        <v>20</v>
      </c>
      <c r="D155" s="195">
        <f t="shared" si="90"/>
        <v>1.2558853859060402</v>
      </c>
      <c r="E155" s="196">
        <f t="shared" ref="E155" si="93">E36</f>
        <v>0.1332204436241613</v>
      </c>
      <c r="F155" s="196">
        <f t="shared" si="90"/>
        <v>1.4628419045982679</v>
      </c>
      <c r="G155" s="196">
        <f t="shared" ref="G155" si="94">G36</f>
        <v>0.16795432994976825</v>
      </c>
      <c r="H155" s="197"/>
      <c r="I155" s="275" t="s">
        <v>872</v>
      </c>
      <c r="J155" s="276" t="s">
        <v>850</v>
      </c>
      <c r="K155" s="262" t="s">
        <v>1808</v>
      </c>
      <c r="L155" s="194"/>
      <c r="M155" s="194"/>
      <c r="N155" s="194"/>
      <c r="O155" s="194"/>
      <c r="P155" s="194"/>
      <c r="Q155" s="194"/>
    </row>
    <row r="156" spans="1:17" x14ac:dyDescent="0.35">
      <c r="A156" s="215" t="s">
        <v>944</v>
      </c>
      <c r="B156" s="216" t="s">
        <v>1807</v>
      </c>
      <c r="C156" s="215" t="s">
        <v>82</v>
      </c>
      <c r="D156" s="195">
        <f t="shared" si="90"/>
        <v>0.26</v>
      </c>
      <c r="E156" s="196">
        <f t="shared" ref="E156" si="95">E37</f>
        <v>1.9600000000000017E-2</v>
      </c>
      <c r="F156" s="196">
        <f t="shared" si="90"/>
        <v>1.2004636652361285</v>
      </c>
      <c r="G156" s="196">
        <f t="shared" ref="G156" si="96">G37</f>
        <v>8.9478605771911329E-2</v>
      </c>
      <c r="H156" s="197"/>
      <c r="I156" s="277" t="s">
        <v>872</v>
      </c>
      <c r="J156" s="278" t="s">
        <v>852</v>
      </c>
      <c r="K156" s="262" t="s">
        <v>1808</v>
      </c>
    </row>
    <row r="157" spans="1:17" x14ac:dyDescent="0.35">
      <c r="A157" s="215" t="s">
        <v>945</v>
      </c>
      <c r="B157" s="216" t="s">
        <v>1807</v>
      </c>
      <c r="C157" s="215" t="s">
        <v>34</v>
      </c>
      <c r="D157" s="195">
        <f t="shared" si="90"/>
        <v>0.26</v>
      </c>
      <c r="E157" s="196">
        <f t="shared" ref="E157" si="97">E38</f>
        <v>1.9600000000000017E-2</v>
      </c>
      <c r="F157" s="196">
        <f t="shared" si="90"/>
        <v>1.2596838091965361</v>
      </c>
      <c r="G157" s="196">
        <f t="shared" ref="G157" si="98">G38</f>
        <v>0.1521661074316065</v>
      </c>
      <c r="H157" s="197"/>
      <c r="I157" s="275" t="s">
        <v>872</v>
      </c>
      <c r="J157" s="276" t="s">
        <v>854</v>
      </c>
      <c r="K157" s="262" t="s">
        <v>1808</v>
      </c>
    </row>
    <row r="158" spans="1:17" x14ac:dyDescent="0.35">
      <c r="A158" s="188" t="s">
        <v>1070</v>
      </c>
      <c r="B158" s="206" t="s">
        <v>652</v>
      </c>
      <c r="C158" s="188" t="s">
        <v>359</v>
      </c>
      <c r="D158" s="195">
        <f>'Coral growth rates and density'!I260</f>
        <v>3.1163227513227514</v>
      </c>
      <c r="E158" s="196">
        <f>1.96*'Coral growth rates and density'!J260</f>
        <v>0.12999259259259305</v>
      </c>
      <c r="F158" s="196">
        <f>'Coral growth rates and density'!M260</f>
        <v>1.1399999999999999</v>
      </c>
      <c r="G158" s="196">
        <f>1.96*'Coral growth rates and density'!N260</f>
        <v>0</v>
      </c>
      <c r="H158" s="197">
        <f>AVERAGE(0.19,0.364,0.141,0.327)</f>
        <v>0.2555</v>
      </c>
      <c r="I158" s="277"/>
      <c r="J158" s="278"/>
      <c r="K158" s="262"/>
    </row>
    <row r="159" spans="1:17" x14ac:dyDescent="0.35">
      <c r="A159" s="188" t="s">
        <v>946</v>
      </c>
      <c r="B159" s="206" t="s">
        <v>652</v>
      </c>
      <c r="C159" s="188" t="s">
        <v>20</v>
      </c>
      <c r="D159" s="195">
        <f>'Coral growth rates and density'!I272</f>
        <v>1.7491809598717762</v>
      </c>
      <c r="E159" s="196">
        <f>1.96*'Coral growth rates and density'!J272</f>
        <v>0.53975729231887837</v>
      </c>
      <c r="F159" s="196">
        <f>'Coral growth rates and density'!M272</f>
        <v>1.2066666666666668</v>
      </c>
      <c r="G159" s="196">
        <f>1.96*'Coral growth rates and density'!N272</f>
        <v>0.34645152298377568</v>
      </c>
      <c r="H159" s="197"/>
      <c r="I159" s="277"/>
      <c r="J159" s="278"/>
      <c r="K159" s="262"/>
    </row>
    <row r="160" spans="1:17" x14ac:dyDescent="0.35">
      <c r="A160" s="188" t="s">
        <v>1071</v>
      </c>
      <c r="B160" s="206" t="s">
        <v>652</v>
      </c>
      <c r="C160" s="188" t="s">
        <v>609</v>
      </c>
      <c r="D160" s="195">
        <f>'Coral growth rates and density'!I280</f>
        <v>3.1482857142857141</v>
      </c>
      <c r="E160" s="196">
        <f>1.96*'Coral growth rates and density'!J280</f>
        <v>1.0586559196767689</v>
      </c>
      <c r="F160" s="196">
        <f>'Coral growth rates and density'!M280</f>
        <v>0.94</v>
      </c>
      <c r="G160" s="196">
        <f>1.96*'Coral growth rates and density'!N280</f>
        <v>7.8399999999999997E-2</v>
      </c>
      <c r="H160" s="197"/>
      <c r="I160" s="277"/>
      <c r="J160" s="278"/>
      <c r="K160" s="262"/>
    </row>
    <row r="161" spans="1:11" x14ac:dyDescent="0.35">
      <c r="A161" s="188" t="s">
        <v>947</v>
      </c>
      <c r="B161" s="206" t="s">
        <v>652</v>
      </c>
      <c r="C161" s="188" t="s">
        <v>82</v>
      </c>
      <c r="D161" s="195">
        <f>'Coral growth rates and density'!I284</f>
        <v>0.94899999999999995</v>
      </c>
      <c r="E161" s="196">
        <f>1.96*'Coral growth rates and density'!J284</f>
        <v>5.0959999999999998E-2</v>
      </c>
      <c r="F161" s="196">
        <f>'Coral growth rates and density'!M284</f>
        <v>0.81238484691333135</v>
      </c>
      <c r="G161" s="196">
        <f>1.96*'Coral growth rates and density'!N284</f>
        <v>7.6392391430129394E-2</v>
      </c>
      <c r="H161" s="197"/>
      <c r="I161" s="277"/>
      <c r="J161" s="278"/>
      <c r="K161" s="262"/>
    </row>
    <row r="162" spans="1:11" x14ac:dyDescent="0.35">
      <c r="A162" s="188" t="s">
        <v>948</v>
      </c>
      <c r="B162" s="206" t="s">
        <v>652</v>
      </c>
      <c r="C162" s="188" t="s">
        <v>508</v>
      </c>
      <c r="D162" s="195">
        <f>'Coral growth rates and density'!I280</f>
        <v>3.1482857142857141</v>
      </c>
      <c r="E162" s="196">
        <f>1.96*'Coral growth rates and density'!J280</f>
        <v>1.0586559196767689</v>
      </c>
      <c r="F162" s="196">
        <f>'Coral growth rates and density'!M280</f>
        <v>0.94</v>
      </c>
      <c r="G162" s="196">
        <f>1.96*'Coral growth rates and density'!N280</f>
        <v>7.8399999999999997E-2</v>
      </c>
      <c r="H162" s="197"/>
      <c r="I162" s="277"/>
      <c r="J162" s="278"/>
      <c r="K162" s="262"/>
    </row>
    <row r="163" spans="1:11" x14ac:dyDescent="0.35">
      <c r="A163" s="188" t="s">
        <v>949</v>
      </c>
      <c r="B163" s="206" t="s">
        <v>652</v>
      </c>
      <c r="C163" s="188" t="s">
        <v>34</v>
      </c>
      <c r="D163" s="196">
        <f t="shared" ref="D163" si="99">D161</f>
        <v>0.94899999999999995</v>
      </c>
      <c r="E163" s="196">
        <f t="shared" ref="E163" si="100">E161</f>
        <v>5.0959999999999998E-2</v>
      </c>
      <c r="F163" s="196">
        <f>F161</f>
        <v>0.81238484691333135</v>
      </c>
      <c r="G163" s="196">
        <f>G161</f>
        <v>7.6392391430129394E-2</v>
      </c>
      <c r="H163" s="197"/>
      <c r="I163" s="277" t="s">
        <v>947</v>
      </c>
      <c r="J163" s="278" t="s">
        <v>947</v>
      </c>
      <c r="K163" s="262"/>
    </row>
    <row r="164" spans="1:11" x14ac:dyDescent="0.35">
      <c r="A164" s="207" t="s">
        <v>1822</v>
      </c>
      <c r="B164" s="208" t="s">
        <v>1658</v>
      </c>
      <c r="C164" s="207" t="s">
        <v>20</v>
      </c>
      <c r="D164" s="195">
        <f>D95</f>
        <v>0.91899999999999993</v>
      </c>
      <c r="E164" s="196">
        <f>E95</f>
        <v>0.31802572893818931</v>
      </c>
      <c r="F164" s="196">
        <f>F95</f>
        <v>1.99</v>
      </c>
      <c r="G164" s="196">
        <f>G95</f>
        <v>0</v>
      </c>
      <c r="H164" s="197"/>
      <c r="I164" s="277"/>
      <c r="J164" s="278"/>
      <c r="K164" s="262" t="s">
        <v>1744</v>
      </c>
    </row>
    <row r="165" spans="1:11" x14ac:dyDescent="0.35">
      <c r="A165" s="188" t="s">
        <v>950</v>
      </c>
      <c r="B165" s="206" t="s">
        <v>951</v>
      </c>
      <c r="C165" s="188" t="s">
        <v>20</v>
      </c>
      <c r="D165" s="195">
        <f>D13</f>
        <v>1.2406808404987837</v>
      </c>
      <c r="E165" s="196">
        <f>E13</f>
        <v>0.23356698971471701</v>
      </c>
      <c r="F165" s="196">
        <f>'Coral growth rates and density'!M286</f>
        <v>1.54</v>
      </c>
      <c r="G165" s="196">
        <f>1.96*'Coral growth rates and density'!N286</f>
        <v>0.41159999999999991</v>
      </c>
      <c r="H165" s="197"/>
      <c r="I165" s="275" t="s">
        <v>850</v>
      </c>
      <c r="J165" s="276"/>
      <c r="K165" s="262"/>
    </row>
    <row r="166" spans="1:11" x14ac:dyDescent="0.35">
      <c r="A166" s="188" t="s">
        <v>952</v>
      </c>
      <c r="B166" s="206" t="s">
        <v>951</v>
      </c>
      <c r="C166" s="188" t="s">
        <v>609</v>
      </c>
      <c r="D166" s="195">
        <f>D14</f>
        <v>2.2966219024782268</v>
      </c>
      <c r="E166" s="196">
        <f>E14</f>
        <v>0.41422715045645991</v>
      </c>
      <c r="F166" s="196">
        <f>F165</f>
        <v>1.54</v>
      </c>
      <c r="G166" s="196">
        <f>G165</f>
        <v>0.41159999999999991</v>
      </c>
      <c r="H166" s="197"/>
      <c r="I166" s="275" t="s">
        <v>851</v>
      </c>
      <c r="J166" s="276" t="s">
        <v>950</v>
      </c>
      <c r="K166" s="262"/>
    </row>
    <row r="167" spans="1:11" x14ac:dyDescent="0.35">
      <c r="A167" s="188" t="s">
        <v>953</v>
      </c>
      <c r="B167" s="206" t="s">
        <v>951</v>
      </c>
      <c r="C167" s="188" t="s">
        <v>508</v>
      </c>
      <c r="D167" s="195">
        <f>D16</f>
        <v>2.2966219024782268</v>
      </c>
      <c r="E167" s="196">
        <f>E16</f>
        <v>0.41422715045645991</v>
      </c>
      <c r="F167" s="196">
        <f>F165</f>
        <v>1.54</v>
      </c>
      <c r="G167" s="196">
        <f>G165</f>
        <v>0.41159999999999991</v>
      </c>
      <c r="H167" s="197"/>
      <c r="I167" s="275" t="s">
        <v>853</v>
      </c>
      <c r="J167" s="276" t="s">
        <v>950</v>
      </c>
      <c r="K167" s="262"/>
    </row>
    <row r="168" spans="1:11" x14ac:dyDescent="0.35">
      <c r="A168" s="188" t="s">
        <v>1433</v>
      </c>
      <c r="B168" s="188" t="s">
        <v>1434</v>
      </c>
      <c r="C168" s="188" t="s">
        <v>1318</v>
      </c>
      <c r="D168" s="202"/>
      <c r="E168" s="203"/>
      <c r="F168" s="203"/>
      <c r="G168" s="203"/>
      <c r="H168" s="209"/>
      <c r="I168" s="275"/>
      <c r="J168" s="276"/>
      <c r="K168" s="262"/>
    </row>
    <row r="169" spans="1:11" x14ac:dyDescent="0.35">
      <c r="A169" s="188" t="s">
        <v>1435</v>
      </c>
      <c r="B169" s="188" t="s">
        <v>1436</v>
      </c>
      <c r="C169" s="188" t="s">
        <v>1318</v>
      </c>
      <c r="D169" s="202"/>
      <c r="E169" s="203"/>
      <c r="F169" s="203"/>
      <c r="G169" s="203"/>
      <c r="H169" s="209"/>
      <c r="I169" s="275"/>
      <c r="J169" s="276"/>
      <c r="K169" s="262"/>
    </row>
    <row r="170" spans="1:11" x14ac:dyDescent="0.35">
      <c r="A170" s="188" t="s">
        <v>1437</v>
      </c>
      <c r="B170" s="188" t="s">
        <v>1438</v>
      </c>
      <c r="C170" s="188" t="s">
        <v>1318</v>
      </c>
      <c r="D170" s="202"/>
      <c r="E170" s="203"/>
      <c r="F170" s="203"/>
      <c r="G170" s="203"/>
      <c r="H170" s="209"/>
      <c r="I170" s="275"/>
      <c r="J170" s="276"/>
      <c r="K170" s="262"/>
    </row>
    <row r="171" spans="1:11" x14ac:dyDescent="0.35">
      <c r="A171" s="188" t="s">
        <v>1149</v>
      </c>
      <c r="B171" s="206" t="s">
        <v>22</v>
      </c>
      <c r="C171" s="188" t="s">
        <v>20</v>
      </c>
      <c r="D171" s="195">
        <f>'Coral growth rates and density'!I287</f>
        <v>1.248</v>
      </c>
      <c r="E171" s="196">
        <f>1.96*'Coral growth rates and density'!J287</f>
        <v>9.4079999999999997E-2</v>
      </c>
      <c r="F171" s="196">
        <f>F13</f>
        <v>1.4628419045982679</v>
      </c>
      <c r="G171" s="196">
        <f>G13</f>
        <v>0.16795432994976825</v>
      </c>
      <c r="H171" s="197"/>
      <c r="I171" s="277"/>
      <c r="J171" s="278" t="s">
        <v>850</v>
      </c>
      <c r="K171" s="262"/>
    </row>
    <row r="172" spans="1:11" x14ac:dyDescent="0.35">
      <c r="A172" s="188" t="s">
        <v>954</v>
      </c>
      <c r="B172" s="206" t="s">
        <v>498</v>
      </c>
      <c r="C172" s="188" t="s">
        <v>20</v>
      </c>
      <c r="D172" s="195">
        <f>D173</f>
        <v>1.36</v>
      </c>
      <c r="E172" s="196">
        <f>E173</f>
        <v>1.1842466409775736</v>
      </c>
      <c r="F172" s="196">
        <f>F173</f>
        <v>0.92500000000000004</v>
      </c>
      <c r="G172" s="196">
        <f>G173</f>
        <v>9.8000000000000084E-3</v>
      </c>
      <c r="H172" s="197"/>
      <c r="I172" s="277" t="s">
        <v>955</v>
      </c>
      <c r="J172" s="278" t="s">
        <v>955</v>
      </c>
      <c r="K172" s="262" t="s">
        <v>1213</v>
      </c>
    </row>
    <row r="173" spans="1:11" x14ac:dyDescent="0.35">
      <c r="A173" s="188" t="s">
        <v>955</v>
      </c>
      <c r="B173" s="206" t="s">
        <v>498</v>
      </c>
      <c r="C173" s="188" t="s">
        <v>82</v>
      </c>
      <c r="D173" s="195">
        <f>'Coral growth rates and density'!I291</f>
        <v>1.36</v>
      </c>
      <c r="E173" s="196">
        <f>1.96*'Coral growth rates and density'!J291</f>
        <v>1.1842466409775736</v>
      </c>
      <c r="F173" s="196">
        <f>'Coral growth rates and density'!M291</f>
        <v>0.92500000000000004</v>
      </c>
      <c r="G173" s="196">
        <f>1.96*'Coral growth rates and density'!N291</f>
        <v>9.8000000000000084E-3</v>
      </c>
      <c r="H173" s="197"/>
      <c r="I173" s="277"/>
      <c r="J173" s="278"/>
      <c r="K173" s="262"/>
    </row>
    <row r="174" spans="1:11" x14ac:dyDescent="0.35">
      <c r="A174" s="188" t="s">
        <v>956</v>
      </c>
      <c r="B174" s="206" t="s">
        <v>498</v>
      </c>
      <c r="C174" s="188" t="s">
        <v>508</v>
      </c>
      <c r="D174" s="195">
        <f>D173</f>
        <v>1.36</v>
      </c>
      <c r="E174" s="196">
        <f>E173</f>
        <v>1.1842466409775736</v>
      </c>
      <c r="F174" s="196">
        <f>F173</f>
        <v>0.92500000000000004</v>
      </c>
      <c r="G174" s="196">
        <f>G173</f>
        <v>9.8000000000000084E-3</v>
      </c>
      <c r="H174" s="197"/>
      <c r="I174" s="277" t="s">
        <v>955</v>
      </c>
      <c r="J174" s="278" t="s">
        <v>955</v>
      </c>
      <c r="K174" s="262" t="s">
        <v>1213</v>
      </c>
    </row>
    <row r="175" spans="1:11" x14ac:dyDescent="0.35">
      <c r="A175" s="188" t="s">
        <v>957</v>
      </c>
      <c r="B175" s="206" t="s">
        <v>958</v>
      </c>
      <c r="C175" s="188" t="s">
        <v>20</v>
      </c>
      <c r="D175" s="195">
        <f>D13</f>
        <v>1.2406808404987837</v>
      </c>
      <c r="E175" s="196">
        <f>E13</f>
        <v>0.23356698971471701</v>
      </c>
      <c r="F175" s="196">
        <f>'Coral growth rates and density'!M293</f>
        <v>1.61</v>
      </c>
      <c r="G175" s="196">
        <f>1.96*'Coral growth rates and density'!N293</f>
        <v>0.15679999999999991</v>
      </c>
      <c r="H175" s="197"/>
      <c r="I175" s="275" t="s">
        <v>850</v>
      </c>
      <c r="J175" s="276"/>
      <c r="K175" s="262"/>
    </row>
    <row r="176" spans="1:11" x14ac:dyDescent="0.35">
      <c r="A176" s="188" t="s">
        <v>1202</v>
      </c>
      <c r="B176" s="206" t="s">
        <v>958</v>
      </c>
      <c r="C176" s="188" t="s">
        <v>609</v>
      </c>
      <c r="D176" s="195">
        <f>D14</f>
        <v>2.2966219024782268</v>
      </c>
      <c r="E176" s="196">
        <f>E14</f>
        <v>0.41422715045645991</v>
      </c>
      <c r="F176" s="196">
        <f>F175</f>
        <v>1.61</v>
      </c>
      <c r="G176" s="196">
        <f>G175</f>
        <v>0.15679999999999991</v>
      </c>
      <c r="H176" s="197"/>
      <c r="I176" s="275" t="s">
        <v>851</v>
      </c>
      <c r="J176" s="276" t="s">
        <v>957</v>
      </c>
      <c r="K176" s="262"/>
    </row>
    <row r="177" spans="1:11" x14ac:dyDescent="0.35">
      <c r="A177" s="188" t="s">
        <v>959</v>
      </c>
      <c r="B177" s="206" t="s">
        <v>958</v>
      </c>
      <c r="C177" s="188" t="s">
        <v>508</v>
      </c>
      <c r="D177" s="195">
        <f>D16</f>
        <v>2.2966219024782268</v>
      </c>
      <c r="E177" s="196">
        <f>E16</f>
        <v>0.41422715045645991</v>
      </c>
      <c r="F177" s="196">
        <f>F175</f>
        <v>1.61</v>
      </c>
      <c r="G177" s="196">
        <f>G175</f>
        <v>0.15679999999999991</v>
      </c>
      <c r="H177" s="197"/>
      <c r="I177" s="275" t="s">
        <v>853</v>
      </c>
      <c r="J177" s="276" t="s">
        <v>957</v>
      </c>
      <c r="K177" s="262"/>
    </row>
    <row r="178" spans="1:11" x14ac:dyDescent="0.35">
      <c r="A178" s="188" t="s">
        <v>960</v>
      </c>
      <c r="B178" s="206" t="s">
        <v>961</v>
      </c>
      <c r="C178" s="188" t="s">
        <v>20</v>
      </c>
      <c r="D178" s="195">
        <f>D13</f>
        <v>1.2406808404987837</v>
      </c>
      <c r="E178" s="196">
        <f>E13</f>
        <v>0.23356698971471701</v>
      </c>
      <c r="F178" s="196">
        <f>'Coral growth rates and density'!M296</f>
        <v>1.3599999999999999</v>
      </c>
      <c r="G178" s="196">
        <f>1.96*'Coral growth rates and density'!N296</f>
        <v>3.9199999999999818E-2</v>
      </c>
      <c r="H178" s="197"/>
      <c r="I178" s="275" t="s">
        <v>850</v>
      </c>
      <c r="J178" s="276"/>
      <c r="K178" s="262"/>
    </row>
    <row r="179" spans="1:11" x14ac:dyDescent="0.35">
      <c r="A179" s="188" t="s">
        <v>962</v>
      </c>
      <c r="B179" s="206" t="s">
        <v>961</v>
      </c>
      <c r="C179" s="188" t="s">
        <v>609</v>
      </c>
      <c r="D179" s="195">
        <f>D14</f>
        <v>2.2966219024782268</v>
      </c>
      <c r="E179" s="196">
        <f>E14</f>
        <v>0.41422715045645991</v>
      </c>
      <c r="F179" s="196">
        <f>F178</f>
        <v>1.3599999999999999</v>
      </c>
      <c r="G179" s="196">
        <f>G178</f>
        <v>3.9199999999999818E-2</v>
      </c>
      <c r="H179" s="197"/>
      <c r="I179" s="275" t="s">
        <v>851</v>
      </c>
      <c r="J179" s="276" t="s">
        <v>960</v>
      </c>
      <c r="K179" s="262"/>
    </row>
    <row r="180" spans="1:11" x14ac:dyDescent="0.35">
      <c r="A180" s="188" t="s">
        <v>963</v>
      </c>
      <c r="B180" s="206" t="s">
        <v>961</v>
      </c>
      <c r="C180" s="188" t="s">
        <v>508</v>
      </c>
      <c r="D180" s="195">
        <f>D16</f>
        <v>2.2966219024782268</v>
      </c>
      <c r="E180" s="196">
        <f>E16</f>
        <v>0.41422715045645991</v>
      </c>
      <c r="F180" s="196">
        <f>F178</f>
        <v>1.3599999999999999</v>
      </c>
      <c r="G180" s="196">
        <f>G178</f>
        <v>3.9199999999999818E-2</v>
      </c>
      <c r="H180" s="197"/>
      <c r="I180" s="275" t="s">
        <v>853</v>
      </c>
      <c r="J180" s="276" t="s">
        <v>960</v>
      </c>
      <c r="K180" s="262"/>
    </row>
    <row r="181" spans="1:11" x14ac:dyDescent="0.35">
      <c r="A181" s="207" t="s">
        <v>1659</v>
      </c>
      <c r="B181" s="208" t="s">
        <v>1823</v>
      </c>
      <c r="C181" s="207" t="s">
        <v>359</v>
      </c>
      <c r="D181" s="195">
        <f>D245</f>
        <v>1.7261299999999999</v>
      </c>
      <c r="E181" s="196">
        <f>E245</f>
        <v>0.67024756176433842</v>
      </c>
      <c r="F181" s="196">
        <f t="shared" ref="F181" si="101">F245</f>
        <v>1.4323073593073592</v>
      </c>
      <c r="G181" s="196">
        <f t="shared" ref="G181" si="102">G245</f>
        <v>0.13958366373481726</v>
      </c>
      <c r="H181" s="197">
        <v>0.32700000000000001</v>
      </c>
      <c r="I181" s="275" t="s">
        <v>1015</v>
      </c>
      <c r="J181" s="276" t="s">
        <v>1015</v>
      </c>
      <c r="K181" s="262" t="s">
        <v>1727</v>
      </c>
    </row>
    <row r="182" spans="1:11" x14ac:dyDescent="0.35">
      <c r="A182" s="207" t="s">
        <v>1816</v>
      </c>
      <c r="B182" s="208" t="s">
        <v>1660</v>
      </c>
      <c r="C182" s="207" t="s">
        <v>20</v>
      </c>
      <c r="D182" s="195">
        <f>'Coral growth rates and density'!I299</f>
        <v>0.56000000000000005</v>
      </c>
      <c r="E182" s="196">
        <f>1.96*'Coral growth rates and density'!J299</f>
        <v>2.8290163190291626E-2</v>
      </c>
      <c r="F182" s="196">
        <f>F103</f>
        <v>1.3520402390229227</v>
      </c>
      <c r="G182" s="196">
        <f>G103</f>
        <v>0.15326811609364543</v>
      </c>
      <c r="H182" s="197"/>
      <c r="I182" s="275"/>
      <c r="J182" s="276" t="s">
        <v>915</v>
      </c>
      <c r="K182" s="262" t="s">
        <v>1777</v>
      </c>
    </row>
    <row r="183" spans="1:11" x14ac:dyDescent="0.35">
      <c r="A183" s="207" t="s">
        <v>1817</v>
      </c>
      <c r="B183" s="208" t="s">
        <v>1660</v>
      </c>
      <c r="C183" s="207" t="s">
        <v>82</v>
      </c>
      <c r="D183" s="195">
        <f>'Coral growth rates and density'!I299</f>
        <v>0.56000000000000005</v>
      </c>
      <c r="E183" s="196">
        <f>1.96*'Coral growth rates and density'!J299</f>
        <v>2.8290163190291626E-2</v>
      </c>
      <c r="F183" s="196">
        <f>F104</f>
        <v>1.3520402390229227</v>
      </c>
      <c r="G183" s="196">
        <f>G104</f>
        <v>0.15326811609364543</v>
      </c>
      <c r="H183" s="197"/>
      <c r="I183" s="275"/>
      <c r="J183" s="276" t="s">
        <v>916</v>
      </c>
      <c r="K183" s="262" t="s">
        <v>1777</v>
      </c>
    </row>
    <row r="184" spans="1:11" x14ac:dyDescent="0.35">
      <c r="A184" s="207" t="s">
        <v>1661</v>
      </c>
      <c r="B184" s="208" t="s">
        <v>1662</v>
      </c>
      <c r="C184" s="207" t="s">
        <v>82</v>
      </c>
      <c r="D184" s="195">
        <f>D37</f>
        <v>0.26</v>
      </c>
      <c r="E184" s="196">
        <f>E37</f>
        <v>1.9600000000000017E-2</v>
      </c>
      <c r="F184" s="196">
        <f>F37</f>
        <v>1.2004636652361285</v>
      </c>
      <c r="G184" s="196">
        <f>G37</f>
        <v>8.9478605771911329E-2</v>
      </c>
      <c r="H184" s="197"/>
      <c r="I184" s="275" t="s">
        <v>872</v>
      </c>
      <c r="J184" s="276" t="s">
        <v>852</v>
      </c>
      <c r="K184" s="262" t="s">
        <v>1783</v>
      </c>
    </row>
    <row r="185" spans="1:11" x14ac:dyDescent="0.35">
      <c r="A185" s="207" t="s">
        <v>1824</v>
      </c>
      <c r="B185" s="208" t="s">
        <v>1663</v>
      </c>
      <c r="C185" s="207" t="s">
        <v>20</v>
      </c>
      <c r="D185" s="195">
        <f>D248</f>
        <v>1.0231704741233698</v>
      </c>
      <c r="E185" s="196">
        <f>E248</f>
        <v>0.43478057324390612</v>
      </c>
      <c r="F185" s="196">
        <f t="shared" ref="F185" si="103">F248</f>
        <v>1.1283614541628804</v>
      </c>
      <c r="G185" s="196">
        <f t="shared" ref="G185" si="104">G248</f>
        <v>0.11867547841216843</v>
      </c>
      <c r="H185" s="197"/>
      <c r="I185" s="275" t="s">
        <v>1019</v>
      </c>
      <c r="J185" s="276" t="s">
        <v>1019</v>
      </c>
      <c r="K185" s="262" t="s">
        <v>1782</v>
      </c>
    </row>
    <row r="186" spans="1:11" s="211" customFormat="1" x14ac:dyDescent="0.35">
      <c r="A186" s="188" t="s">
        <v>964</v>
      </c>
      <c r="B186" s="206" t="s">
        <v>611</v>
      </c>
      <c r="C186" s="188" t="s">
        <v>359</v>
      </c>
      <c r="D186" s="217">
        <f>D187</f>
        <v>1.2050000000000001</v>
      </c>
      <c r="E186" s="218">
        <f>E187</f>
        <v>0.29104515113638291</v>
      </c>
      <c r="F186" s="218">
        <f t="shared" ref="F186:G186" si="105">F187</f>
        <v>1.6440000000000001</v>
      </c>
      <c r="G186" s="218">
        <f t="shared" si="105"/>
        <v>0.15711817717883572</v>
      </c>
      <c r="H186" s="219">
        <v>0.221</v>
      </c>
      <c r="I186" s="279" t="s">
        <v>965</v>
      </c>
      <c r="J186" s="280" t="s">
        <v>968</v>
      </c>
      <c r="K186" s="263" t="s">
        <v>1214</v>
      </c>
    </row>
    <row r="187" spans="1:11" x14ac:dyDescent="0.35">
      <c r="A187" s="188" t="s">
        <v>965</v>
      </c>
      <c r="B187" s="206" t="s">
        <v>611</v>
      </c>
      <c r="C187" s="188" t="s">
        <v>338</v>
      </c>
      <c r="D187" s="195">
        <f>'Coral growth rates and density'!I301</f>
        <v>1.2050000000000001</v>
      </c>
      <c r="E187" s="196">
        <f>1.96*'Coral growth rates and density'!J301</f>
        <v>0.29104515113638291</v>
      </c>
      <c r="F187" s="196">
        <f>F190</f>
        <v>1.6440000000000001</v>
      </c>
      <c r="G187" s="196">
        <f>G190</f>
        <v>0.15711817717883572</v>
      </c>
      <c r="H187" s="201"/>
      <c r="I187" s="277"/>
      <c r="J187" s="278" t="s">
        <v>968</v>
      </c>
      <c r="K187" s="262"/>
    </row>
    <row r="188" spans="1:11" x14ac:dyDescent="0.35">
      <c r="A188" s="188" t="s">
        <v>966</v>
      </c>
      <c r="B188" s="206" t="s">
        <v>611</v>
      </c>
      <c r="C188" s="188" t="s">
        <v>20</v>
      </c>
      <c r="D188" s="195">
        <f>'Coral growth rates and density'!I307</f>
        <v>1.1482138872632066</v>
      </c>
      <c r="E188" s="196">
        <f>1.96*'Coral growth rates and density'!J307</f>
        <v>0.70910078096411522</v>
      </c>
      <c r="F188" s="196">
        <f>'Coral growth rates and density'!M307</f>
        <v>1.96</v>
      </c>
      <c r="G188" s="196">
        <f>1.96*'Coral growth rates and density'!N307</f>
        <v>0.14373333333333346</v>
      </c>
      <c r="H188" s="197"/>
      <c r="I188" s="277"/>
      <c r="J188" s="278"/>
      <c r="K188" s="262"/>
    </row>
    <row r="189" spans="1:11" x14ac:dyDescent="0.35">
      <c r="A189" s="188" t="s">
        <v>967</v>
      </c>
      <c r="B189" s="206" t="s">
        <v>611</v>
      </c>
      <c r="C189" s="188" t="s">
        <v>609</v>
      </c>
      <c r="D189" s="195">
        <f>'Coral growth rates and density'!I314</f>
        <v>1.7290260545503606</v>
      </c>
      <c r="E189" s="196">
        <f>1.96*'Coral growth rates and density'!J314</f>
        <v>0.73042096068190254</v>
      </c>
      <c r="F189" s="196">
        <f>'Coral growth rates and density'!M314</f>
        <v>1.724753827601798</v>
      </c>
      <c r="G189" s="196">
        <f>1.96*'Coral growth rates and density'!N314</f>
        <v>0.10215640592575019</v>
      </c>
      <c r="H189" s="197"/>
      <c r="I189" s="277"/>
      <c r="J189" s="278"/>
      <c r="K189" s="266"/>
    </row>
    <row r="190" spans="1:11" x14ac:dyDescent="0.35">
      <c r="A190" s="188" t="s">
        <v>968</v>
      </c>
      <c r="B190" s="206" t="s">
        <v>611</v>
      </c>
      <c r="C190" s="188" t="s">
        <v>82</v>
      </c>
      <c r="D190" s="195">
        <f>'Coral growth rates and density'!I333</f>
        <v>1.1721111111111111</v>
      </c>
      <c r="E190" s="196">
        <f>1.96*'Coral growth rates and density'!J333</f>
        <v>0.17818555795507629</v>
      </c>
      <c r="F190" s="196">
        <f>'Coral growth rates and density'!M333</f>
        <v>1.6440000000000001</v>
      </c>
      <c r="G190" s="196">
        <f>1.96*'Coral growth rates and density'!N333</f>
        <v>0.15711817717883572</v>
      </c>
      <c r="H190" s="197"/>
      <c r="I190" s="277"/>
      <c r="J190" s="278"/>
      <c r="K190" s="262"/>
    </row>
    <row r="191" spans="1:11" x14ac:dyDescent="0.35">
      <c r="A191" s="188" t="s">
        <v>969</v>
      </c>
      <c r="B191" s="206" t="s">
        <v>970</v>
      </c>
      <c r="C191" s="188" t="s">
        <v>359</v>
      </c>
      <c r="D191" s="195">
        <f>D11</f>
        <v>2.3319323773539402</v>
      </c>
      <c r="E191" s="196">
        <f>E11</f>
        <v>0.59944288757054554</v>
      </c>
      <c r="F191" s="196">
        <f>F194</f>
        <v>1.1581890854486303</v>
      </c>
      <c r="G191" s="196">
        <f>G194</f>
        <v>0.26382661383922035</v>
      </c>
      <c r="H191" s="197">
        <f>AVERAGE(0.19,0.364,0.141,0.327)</f>
        <v>0.2555</v>
      </c>
      <c r="I191" s="275" t="s">
        <v>847</v>
      </c>
      <c r="J191" s="278"/>
      <c r="K191" s="262"/>
    </row>
    <row r="192" spans="1:11" x14ac:dyDescent="0.35">
      <c r="A192" s="188" t="s">
        <v>971</v>
      </c>
      <c r="B192" s="206" t="s">
        <v>970</v>
      </c>
      <c r="C192" s="188" t="s">
        <v>20</v>
      </c>
      <c r="D192" s="195">
        <f>D13</f>
        <v>1.2406808404987837</v>
      </c>
      <c r="E192" s="196">
        <f>E13</f>
        <v>0.23356698971471701</v>
      </c>
      <c r="F192" s="196">
        <f>F194</f>
        <v>1.1581890854486303</v>
      </c>
      <c r="G192" s="196">
        <f>G194</f>
        <v>0.26382661383922035</v>
      </c>
      <c r="H192" s="197"/>
      <c r="I192" s="277" t="s">
        <v>850</v>
      </c>
      <c r="J192" s="278" t="s">
        <v>1785</v>
      </c>
      <c r="K192" s="262"/>
    </row>
    <row r="193" spans="1:11" x14ac:dyDescent="0.35">
      <c r="A193" s="188" t="s">
        <v>972</v>
      </c>
      <c r="B193" s="206" t="s">
        <v>970</v>
      </c>
      <c r="C193" s="188" t="s">
        <v>82</v>
      </c>
      <c r="D193" s="195">
        <f t="shared" ref="D193:D195" si="106">D15</f>
        <v>0.90692311241565837</v>
      </c>
      <c r="E193" s="196">
        <f t="shared" ref="E193" si="107">E15</f>
        <v>0.19328579499248366</v>
      </c>
      <c r="F193" s="196">
        <f>F194</f>
        <v>1.1581890854486303</v>
      </c>
      <c r="G193" s="196">
        <f>G194</f>
        <v>0.26382661383922035</v>
      </c>
      <c r="H193" s="197"/>
      <c r="I193" s="277" t="s">
        <v>852</v>
      </c>
      <c r="J193" s="278" t="s">
        <v>1785</v>
      </c>
      <c r="K193" s="262"/>
    </row>
    <row r="194" spans="1:11" x14ac:dyDescent="0.35">
      <c r="A194" s="188" t="s">
        <v>973</v>
      </c>
      <c r="B194" s="206" t="s">
        <v>970</v>
      </c>
      <c r="C194" s="188" t="s">
        <v>508</v>
      </c>
      <c r="D194" s="195">
        <f t="shared" si="106"/>
        <v>2.2966219024782268</v>
      </c>
      <c r="E194" s="196">
        <f t="shared" ref="E194" si="108">E16</f>
        <v>0.41422715045645991</v>
      </c>
      <c r="F194" s="196">
        <f>'Coral growth rates and density'!M337</f>
        <v>1.1581890854486303</v>
      </c>
      <c r="G194" s="196">
        <f>1.96*'Coral growth rates and density'!N337</f>
        <v>0.26382661383922035</v>
      </c>
      <c r="H194" s="197"/>
      <c r="I194" s="277" t="s">
        <v>853</v>
      </c>
      <c r="J194" s="278"/>
      <c r="K194" s="262"/>
    </row>
    <row r="195" spans="1:11" x14ac:dyDescent="0.35">
      <c r="A195" s="188" t="s">
        <v>974</v>
      </c>
      <c r="B195" s="206" t="s">
        <v>970</v>
      </c>
      <c r="C195" s="188" t="s">
        <v>34</v>
      </c>
      <c r="D195" s="195">
        <f t="shared" si="106"/>
        <v>1.7212028571428573</v>
      </c>
      <c r="E195" s="196">
        <f t="shared" ref="E195" si="109">E17</f>
        <v>1.1329047148307578</v>
      </c>
      <c r="F195" s="196">
        <f>F194</f>
        <v>1.1581890854486303</v>
      </c>
      <c r="G195" s="196">
        <f>G194</f>
        <v>0.26382661383922035</v>
      </c>
      <c r="H195" s="197"/>
      <c r="I195" s="277" t="s">
        <v>854</v>
      </c>
      <c r="J195" s="278" t="s">
        <v>1785</v>
      </c>
      <c r="K195" s="262"/>
    </row>
    <row r="196" spans="1:11" x14ac:dyDescent="0.35">
      <c r="A196" s="188" t="s">
        <v>975</v>
      </c>
      <c r="B196" s="206" t="s">
        <v>976</v>
      </c>
      <c r="C196" s="188" t="s">
        <v>82</v>
      </c>
      <c r="D196" s="195">
        <f>D144</f>
        <v>1.0231704741233698</v>
      </c>
      <c r="E196" s="196">
        <f>E144</f>
        <v>0.43478057324390612</v>
      </c>
      <c r="F196" s="196">
        <f>F144</f>
        <v>1.1283614541628804</v>
      </c>
      <c r="G196" s="196">
        <f>G144</f>
        <v>0.11867547841216843</v>
      </c>
      <c r="H196" s="197"/>
      <c r="I196" s="275" t="s">
        <v>939</v>
      </c>
      <c r="J196" s="276" t="s">
        <v>939</v>
      </c>
      <c r="K196" s="262" t="s">
        <v>1847</v>
      </c>
    </row>
    <row r="197" spans="1:11" x14ac:dyDescent="0.35">
      <c r="A197" s="215" t="s">
        <v>977</v>
      </c>
      <c r="B197" s="216" t="s">
        <v>978</v>
      </c>
      <c r="C197" s="215" t="s">
        <v>20</v>
      </c>
      <c r="D197" s="195">
        <f t="shared" ref="D197:F199" si="110">D36</f>
        <v>1.2558853859060402</v>
      </c>
      <c r="E197" s="196">
        <f t="shared" ref="E197" si="111">E36</f>
        <v>0.1332204436241613</v>
      </c>
      <c r="F197" s="196">
        <f t="shared" si="110"/>
        <v>1.4628419045982679</v>
      </c>
      <c r="G197" s="196">
        <f t="shared" ref="G197" si="112">G36</f>
        <v>0.16795432994976825</v>
      </c>
      <c r="H197" s="197"/>
      <c r="I197" s="277" t="s">
        <v>872</v>
      </c>
      <c r="J197" s="278" t="s">
        <v>850</v>
      </c>
      <c r="K197" s="262" t="s">
        <v>1808</v>
      </c>
    </row>
    <row r="198" spans="1:11" x14ac:dyDescent="0.35">
      <c r="A198" s="215" t="s">
        <v>979</v>
      </c>
      <c r="B198" s="216" t="s">
        <v>978</v>
      </c>
      <c r="C198" s="215" t="s">
        <v>82</v>
      </c>
      <c r="D198" s="195">
        <f t="shared" si="110"/>
        <v>0.26</v>
      </c>
      <c r="E198" s="196">
        <f t="shared" ref="E198" si="113">E37</f>
        <v>1.9600000000000017E-2</v>
      </c>
      <c r="F198" s="196">
        <f t="shared" si="110"/>
        <v>1.2004636652361285</v>
      </c>
      <c r="G198" s="196">
        <f t="shared" ref="G198" si="114">G37</f>
        <v>8.9478605771911329E-2</v>
      </c>
      <c r="H198" s="197"/>
      <c r="I198" s="277" t="s">
        <v>872</v>
      </c>
      <c r="J198" s="278" t="s">
        <v>852</v>
      </c>
      <c r="K198" s="262" t="s">
        <v>1808</v>
      </c>
    </row>
    <row r="199" spans="1:11" x14ac:dyDescent="0.35">
      <c r="A199" s="215" t="s">
        <v>1201</v>
      </c>
      <c r="B199" s="216" t="s">
        <v>978</v>
      </c>
      <c r="C199" s="215" t="s">
        <v>34</v>
      </c>
      <c r="D199" s="195">
        <f t="shared" si="110"/>
        <v>0.26</v>
      </c>
      <c r="E199" s="196">
        <f t="shared" ref="E199" si="115">E38</f>
        <v>1.9600000000000017E-2</v>
      </c>
      <c r="F199" s="196">
        <f t="shared" si="110"/>
        <v>1.2596838091965361</v>
      </c>
      <c r="G199" s="196">
        <f t="shared" ref="G199" si="116">G38</f>
        <v>0.1521661074316065</v>
      </c>
      <c r="H199" s="197"/>
      <c r="I199" s="277" t="s">
        <v>872</v>
      </c>
      <c r="J199" s="278" t="s">
        <v>854</v>
      </c>
      <c r="K199" s="262" t="s">
        <v>1808</v>
      </c>
    </row>
    <row r="200" spans="1:11" x14ac:dyDescent="0.35">
      <c r="A200" s="188" t="s">
        <v>980</v>
      </c>
      <c r="B200" s="206" t="s">
        <v>462</v>
      </c>
      <c r="C200" s="188" t="s">
        <v>20</v>
      </c>
      <c r="D200" s="195">
        <f>D13</f>
        <v>1.2406808404987837</v>
      </c>
      <c r="E200" s="196">
        <f>E13</f>
        <v>0.23356698971471701</v>
      </c>
      <c r="F200" s="196">
        <f t="shared" ref="F200:G200" si="117">F201</f>
        <v>1.0545089996574939</v>
      </c>
      <c r="G200" s="196">
        <f t="shared" si="117"/>
        <v>0.11458782013096856</v>
      </c>
      <c r="H200" s="201"/>
      <c r="I200" s="277" t="s">
        <v>850</v>
      </c>
      <c r="J200" s="278" t="s">
        <v>981</v>
      </c>
      <c r="K200" s="262"/>
    </row>
    <row r="201" spans="1:11" x14ac:dyDescent="0.35">
      <c r="A201" s="188" t="s">
        <v>981</v>
      </c>
      <c r="B201" s="206" t="s">
        <v>462</v>
      </c>
      <c r="C201" s="188" t="s">
        <v>82</v>
      </c>
      <c r="D201" s="195">
        <f>'Coral growth rates and density'!I361</f>
        <v>0.88391666666666657</v>
      </c>
      <c r="E201" s="196">
        <f>1.96*'Coral growth rates and density'!J361</f>
        <v>0.15688581158848561</v>
      </c>
      <c r="F201" s="196">
        <f>'Coral growth rates and density'!M361</f>
        <v>1.0545089996574939</v>
      </c>
      <c r="G201" s="196">
        <f>1.96*'Coral growth rates and density'!N361</f>
        <v>0.11458782013096856</v>
      </c>
      <c r="H201" s="201"/>
      <c r="I201" s="277"/>
      <c r="J201" s="278"/>
      <c r="K201" s="262"/>
    </row>
    <row r="202" spans="1:11" x14ac:dyDescent="0.35">
      <c r="A202" s="188" t="s">
        <v>982</v>
      </c>
      <c r="B202" s="206" t="s">
        <v>462</v>
      </c>
      <c r="C202" s="188" t="s">
        <v>34</v>
      </c>
      <c r="D202" s="195">
        <f>D201</f>
        <v>0.88391666666666657</v>
      </c>
      <c r="E202" s="196">
        <f>E201</f>
        <v>0.15688581158848561</v>
      </c>
      <c r="F202" s="196">
        <f t="shared" ref="F202" si="118">F201</f>
        <v>1.0545089996574939</v>
      </c>
      <c r="G202" s="196">
        <f t="shared" ref="G202" si="119">G201</f>
        <v>0.11458782013096856</v>
      </c>
      <c r="H202" s="201"/>
      <c r="I202" s="277" t="s">
        <v>981</v>
      </c>
      <c r="J202" s="278" t="s">
        <v>981</v>
      </c>
      <c r="K202" s="262"/>
    </row>
    <row r="203" spans="1:11" x14ac:dyDescent="0.35">
      <c r="A203" s="188" t="s">
        <v>983</v>
      </c>
      <c r="B203" s="206" t="s">
        <v>984</v>
      </c>
      <c r="C203" s="188" t="s">
        <v>359</v>
      </c>
      <c r="D203" s="195">
        <f>D144</f>
        <v>1.0231704741233698</v>
      </c>
      <c r="E203" s="196">
        <f>E144</f>
        <v>0.43478057324390612</v>
      </c>
      <c r="F203" s="196">
        <f>F144</f>
        <v>1.1283614541628804</v>
      </c>
      <c r="G203" s="196">
        <f>G144</f>
        <v>0.11867547841216843</v>
      </c>
      <c r="H203" s="201">
        <f>AVERAGE(0.19,0.364,0.141,0.327)</f>
        <v>0.2555</v>
      </c>
      <c r="I203" s="275" t="s">
        <v>939</v>
      </c>
      <c r="J203" s="276" t="s">
        <v>939</v>
      </c>
      <c r="K203" s="262" t="s">
        <v>1835</v>
      </c>
    </row>
    <row r="204" spans="1:11" x14ac:dyDescent="0.35">
      <c r="A204" s="188" t="s">
        <v>1204</v>
      </c>
      <c r="B204" s="206" t="s">
        <v>984</v>
      </c>
      <c r="C204" s="188" t="s">
        <v>82</v>
      </c>
      <c r="D204" s="195">
        <f>D144</f>
        <v>1.0231704741233698</v>
      </c>
      <c r="E204" s="196">
        <f>E144</f>
        <v>0.43478057324390612</v>
      </c>
      <c r="F204" s="196">
        <f>F144</f>
        <v>1.1283614541628804</v>
      </c>
      <c r="G204" s="196">
        <f>G144</f>
        <v>0.11867547841216843</v>
      </c>
      <c r="H204" s="201">
        <v>0.8</v>
      </c>
      <c r="I204" s="275" t="s">
        <v>939</v>
      </c>
      <c r="J204" s="276" t="s">
        <v>939</v>
      </c>
      <c r="K204" s="262" t="s">
        <v>1836</v>
      </c>
    </row>
    <row r="205" spans="1:11" x14ac:dyDescent="0.35">
      <c r="A205" s="188" t="s">
        <v>1203</v>
      </c>
      <c r="B205" s="206" t="s">
        <v>11</v>
      </c>
      <c r="C205" s="188" t="s">
        <v>20</v>
      </c>
      <c r="D205" s="195">
        <f>D206</f>
        <v>0.4138</v>
      </c>
      <c r="E205" s="196">
        <f>E206</f>
        <v>0.17530528371957257</v>
      </c>
      <c r="F205" s="196">
        <f>F206</f>
        <v>1.08</v>
      </c>
      <c r="G205" s="196">
        <f>G206</f>
        <v>0.17639999999999995</v>
      </c>
      <c r="H205" s="201"/>
      <c r="I205" s="277" t="s">
        <v>985</v>
      </c>
      <c r="J205" s="278" t="s">
        <v>985</v>
      </c>
      <c r="K205" s="262"/>
    </row>
    <row r="206" spans="1:11" x14ac:dyDescent="0.35">
      <c r="A206" s="188" t="s">
        <v>985</v>
      </c>
      <c r="B206" s="206" t="s">
        <v>11</v>
      </c>
      <c r="C206" s="188" t="s">
        <v>82</v>
      </c>
      <c r="D206" s="195">
        <f>'Coral growth rates and density'!I366</f>
        <v>0.4138</v>
      </c>
      <c r="E206" s="196">
        <f>1.96*'Coral growth rates and density'!J366</f>
        <v>0.17530528371957257</v>
      </c>
      <c r="F206" s="196">
        <f>'Coral growth rates and density'!M366</f>
        <v>1.08</v>
      </c>
      <c r="G206" s="196">
        <f>1.96*'Coral growth rates and density'!N366</f>
        <v>0.17639999999999995</v>
      </c>
      <c r="H206" s="201"/>
      <c r="I206" s="277"/>
      <c r="J206" s="278"/>
      <c r="K206" s="262"/>
    </row>
    <row r="207" spans="1:11" x14ac:dyDescent="0.35">
      <c r="A207" s="207" t="s">
        <v>1664</v>
      </c>
      <c r="B207" s="208" t="s">
        <v>1665</v>
      </c>
      <c r="C207" s="207" t="s">
        <v>883</v>
      </c>
      <c r="D207" s="195">
        <f>D95</f>
        <v>0.91899999999999993</v>
      </c>
      <c r="E207" s="196">
        <f>E95</f>
        <v>0.31802572893818931</v>
      </c>
      <c r="F207" s="196">
        <f>F95</f>
        <v>1.99</v>
      </c>
      <c r="G207" s="196">
        <f>G95</f>
        <v>0</v>
      </c>
      <c r="H207" s="201"/>
      <c r="I207" s="277" t="s">
        <v>1141</v>
      </c>
      <c r="J207" s="278" t="s">
        <v>1141</v>
      </c>
      <c r="K207" s="262" t="s">
        <v>1744</v>
      </c>
    </row>
    <row r="208" spans="1:11" x14ac:dyDescent="0.35">
      <c r="A208" s="188" t="s">
        <v>986</v>
      </c>
      <c r="B208" s="206" t="s">
        <v>398</v>
      </c>
      <c r="C208" s="188" t="s">
        <v>359</v>
      </c>
      <c r="D208" s="195">
        <f>'Coral growth rates and density'!I405</f>
        <v>2.5337950904946025</v>
      </c>
      <c r="E208" s="196">
        <f>1.96*'Coral growth rates and density'!J405</f>
        <v>0.37838304496384945</v>
      </c>
      <c r="F208" s="196">
        <f>'Coral growth rates and density'!M405</f>
        <v>1.4514285714285715</v>
      </c>
      <c r="G208" s="196">
        <f>1.96*'Coral growth rates and density'!N405</f>
        <v>0.22504174427573773</v>
      </c>
      <c r="H208" s="201">
        <v>0.36399999999999999</v>
      </c>
      <c r="I208" s="277"/>
      <c r="J208" s="278"/>
      <c r="K208" s="262" t="s">
        <v>1212</v>
      </c>
    </row>
    <row r="209" spans="1:11" x14ac:dyDescent="0.35">
      <c r="A209" s="188" t="s">
        <v>987</v>
      </c>
      <c r="B209" s="206" t="s">
        <v>398</v>
      </c>
      <c r="C209" s="188" t="s">
        <v>34</v>
      </c>
      <c r="D209" s="195">
        <f>'Coral growth rates and density'!I412</f>
        <v>3.6680000000000001</v>
      </c>
      <c r="E209" s="196">
        <f>1.96*'Coral growth rates and density'!J412</f>
        <v>1.1870773615902219</v>
      </c>
      <c r="F209" s="196">
        <f>'Coral growth rates and density'!M412</f>
        <v>1.42</v>
      </c>
      <c r="G209" s="196">
        <f>1.96*'Coral growth rates and density'!N412</f>
        <v>0</v>
      </c>
      <c r="H209" s="201">
        <v>0.33800000000000002</v>
      </c>
      <c r="I209" s="277"/>
      <c r="J209" s="278"/>
      <c r="K209" s="262"/>
    </row>
    <row r="210" spans="1:11" x14ac:dyDescent="0.35">
      <c r="A210" s="188" t="s">
        <v>988</v>
      </c>
      <c r="B210" s="206" t="s">
        <v>989</v>
      </c>
      <c r="C210" s="188" t="s">
        <v>20</v>
      </c>
      <c r="D210" s="195">
        <f>D13</f>
        <v>1.2406808404987837</v>
      </c>
      <c r="E210" s="196">
        <f>E13</f>
        <v>0.23356698971471701</v>
      </c>
      <c r="F210" s="196">
        <f>F211</f>
        <v>1.52</v>
      </c>
      <c r="G210" s="196">
        <f>G211</f>
        <v>0.23519999999999999</v>
      </c>
      <c r="H210" s="197"/>
      <c r="I210" s="275" t="s">
        <v>850</v>
      </c>
      <c r="J210" s="276" t="s">
        <v>990</v>
      </c>
      <c r="K210" s="262"/>
    </row>
    <row r="211" spans="1:11" x14ac:dyDescent="0.35">
      <c r="A211" s="188" t="s">
        <v>990</v>
      </c>
      <c r="B211" s="206" t="s">
        <v>989</v>
      </c>
      <c r="C211" s="188" t="s">
        <v>508</v>
      </c>
      <c r="D211" s="195">
        <f>D16</f>
        <v>2.2966219024782268</v>
      </c>
      <c r="E211" s="196">
        <f>E16</f>
        <v>0.41422715045645991</v>
      </c>
      <c r="F211" s="196">
        <f>'Coral growth rates and density'!M414</f>
        <v>1.52</v>
      </c>
      <c r="G211" s="196">
        <f>1.96*'Coral growth rates and density'!N414</f>
        <v>0.23519999999999999</v>
      </c>
      <c r="H211" s="197"/>
      <c r="I211" s="275" t="s">
        <v>853</v>
      </c>
      <c r="J211" s="276"/>
      <c r="K211" s="262"/>
    </row>
    <row r="212" spans="1:11" x14ac:dyDescent="0.35">
      <c r="A212" s="188" t="s">
        <v>991</v>
      </c>
      <c r="B212" s="206" t="s">
        <v>992</v>
      </c>
      <c r="C212" s="188" t="s">
        <v>883</v>
      </c>
      <c r="D212" s="195">
        <f>'Coral growth rates and density'!I171</f>
        <v>0.91899999999999993</v>
      </c>
      <c r="E212" s="196">
        <f>1.96*'Coral growth rates and density'!J171</f>
        <v>0.31802572893818931</v>
      </c>
      <c r="F212" s="196">
        <f>'Coral growth rates and density'!M171</f>
        <v>1.99</v>
      </c>
      <c r="G212" s="196">
        <f>1.96*'Coral growth rates and density'!N171</f>
        <v>0</v>
      </c>
      <c r="H212" s="197"/>
      <c r="I212" s="277" t="s">
        <v>1141</v>
      </c>
      <c r="J212" s="278" t="s">
        <v>1141</v>
      </c>
      <c r="K212" s="262" t="s">
        <v>1207</v>
      </c>
    </row>
    <row r="213" spans="1:11" x14ac:dyDescent="0.35">
      <c r="A213" s="188" t="s">
        <v>993</v>
      </c>
      <c r="B213" s="206" t="s">
        <v>83</v>
      </c>
      <c r="C213" s="188" t="s">
        <v>359</v>
      </c>
      <c r="D213" s="195">
        <f>'Coral growth rates and density'!I428</f>
        <v>2.1973552360915183</v>
      </c>
      <c r="E213" s="196">
        <f>1.96*'Coral growth rates and density'!J428</f>
        <v>0.60294216455281324</v>
      </c>
      <c r="F213" s="196">
        <f>'Coral growth rates and density'!M428</f>
        <v>1.3080000000000001</v>
      </c>
      <c r="G213" s="196">
        <f>1.96*'Coral growth rates and density'!N428</f>
        <v>0.27283688118238864</v>
      </c>
      <c r="H213" s="197">
        <v>0.221</v>
      </c>
      <c r="I213" s="277"/>
      <c r="J213" s="278"/>
      <c r="K213" s="262"/>
    </row>
    <row r="214" spans="1:11" x14ac:dyDescent="0.35">
      <c r="A214" s="188" t="s">
        <v>994</v>
      </c>
      <c r="B214" s="206" t="s">
        <v>83</v>
      </c>
      <c r="C214" s="188" t="s">
        <v>338</v>
      </c>
      <c r="D214" s="195">
        <f>'Coral growth rates and density'!I434</f>
        <v>1.1156000000000001</v>
      </c>
      <c r="E214" s="196">
        <f>1.96*'Coral growth rates and density'!J434</f>
        <v>0.33311559401505053</v>
      </c>
      <c r="F214" s="196">
        <f>F216</f>
        <v>1.2636470588235298</v>
      </c>
      <c r="G214" s="196">
        <f>G216</f>
        <v>5.1146127953919533E-2</v>
      </c>
      <c r="H214" s="201">
        <v>0.214</v>
      </c>
      <c r="I214" s="277"/>
      <c r="J214" s="278" t="s">
        <v>996</v>
      </c>
      <c r="K214" s="262"/>
    </row>
    <row r="215" spans="1:11" x14ac:dyDescent="0.35">
      <c r="A215" s="188" t="s">
        <v>995</v>
      </c>
      <c r="B215" s="206" t="s">
        <v>83</v>
      </c>
      <c r="C215" s="188" t="s">
        <v>20</v>
      </c>
      <c r="D215" s="195">
        <f>D216</f>
        <v>1.1671181261934518</v>
      </c>
      <c r="E215" s="196">
        <f>E216</f>
        <v>8.7532636572436304E-2</v>
      </c>
      <c r="F215" s="196">
        <f t="shared" ref="F215:G215" si="120">F216</f>
        <v>1.2636470588235298</v>
      </c>
      <c r="G215" s="196">
        <f t="shared" si="120"/>
        <v>5.1146127953919533E-2</v>
      </c>
      <c r="H215" s="197"/>
      <c r="I215" s="273" t="s">
        <v>996</v>
      </c>
      <c r="J215" s="274" t="s">
        <v>996</v>
      </c>
      <c r="K215" s="260"/>
    </row>
    <row r="216" spans="1:11" x14ac:dyDescent="0.35">
      <c r="A216" s="188" t="s">
        <v>996</v>
      </c>
      <c r="B216" s="206" t="s">
        <v>83</v>
      </c>
      <c r="C216" s="188" t="s">
        <v>82</v>
      </c>
      <c r="D216" s="195">
        <f>'Coral growth rates and density'!I515</f>
        <v>1.1671181261934518</v>
      </c>
      <c r="E216" s="196">
        <f>1.96*'Coral growth rates and density'!J515</f>
        <v>8.7532636572436304E-2</v>
      </c>
      <c r="F216" s="196">
        <f>'Coral growth rates and density'!M515</f>
        <v>1.2636470588235298</v>
      </c>
      <c r="G216" s="196">
        <f>1.96*'Coral growth rates and density'!N515</f>
        <v>5.1146127953919533E-2</v>
      </c>
      <c r="H216" s="197"/>
      <c r="I216" s="273"/>
      <c r="J216" s="274"/>
      <c r="K216" s="260"/>
    </row>
    <row r="217" spans="1:11" x14ac:dyDescent="0.35">
      <c r="A217" s="188" t="s">
        <v>997</v>
      </c>
      <c r="B217" s="206" t="s">
        <v>83</v>
      </c>
      <c r="C217" s="188" t="s">
        <v>34</v>
      </c>
      <c r="D217" s="195">
        <f>D216</f>
        <v>1.1671181261934518</v>
      </c>
      <c r="E217" s="196">
        <f>E216</f>
        <v>8.7532636572436304E-2</v>
      </c>
      <c r="F217" s="196">
        <f t="shared" ref="F217" si="121">F216</f>
        <v>1.2636470588235298</v>
      </c>
      <c r="G217" s="196">
        <f t="shared" ref="G217" si="122">G216</f>
        <v>5.1146127953919533E-2</v>
      </c>
      <c r="H217" s="197"/>
      <c r="I217" s="273" t="s">
        <v>996</v>
      </c>
      <c r="J217" s="274" t="s">
        <v>996</v>
      </c>
      <c r="K217" s="260"/>
    </row>
    <row r="218" spans="1:11" x14ac:dyDescent="0.35">
      <c r="A218" s="215" t="s">
        <v>998</v>
      </c>
      <c r="B218" s="216" t="s">
        <v>999</v>
      </c>
      <c r="C218" s="215" t="s">
        <v>20</v>
      </c>
      <c r="D218" s="195">
        <f>D13</f>
        <v>1.2406808404987837</v>
      </c>
      <c r="E218" s="196">
        <f>E13</f>
        <v>0.23356698971471701</v>
      </c>
      <c r="F218" s="196">
        <f>F13</f>
        <v>1.4628419045982679</v>
      </c>
      <c r="G218" s="196">
        <f>G13</f>
        <v>0.16795432994976825</v>
      </c>
      <c r="H218" s="197"/>
      <c r="I218" s="271" t="s">
        <v>850</v>
      </c>
      <c r="J218" s="272" t="s">
        <v>850</v>
      </c>
      <c r="K218" s="260" t="s">
        <v>1809</v>
      </c>
    </row>
    <row r="219" spans="1:11" x14ac:dyDescent="0.35">
      <c r="A219" s="215" t="s">
        <v>1000</v>
      </c>
      <c r="B219" s="216" t="s">
        <v>999</v>
      </c>
      <c r="C219" s="215" t="s">
        <v>82</v>
      </c>
      <c r="D219" s="195">
        <f>D15</f>
        <v>0.90692311241565837</v>
      </c>
      <c r="E219" s="196">
        <f>E15</f>
        <v>0.19328579499248366</v>
      </c>
      <c r="F219" s="196">
        <f>F15</f>
        <v>1.2004636652361285</v>
      </c>
      <c r="G219" s="196">
        <f>G15</f>
        <v>8.9478605771911329E-2</v>
      </c>
      <c r="H219" s="197"/>
      <c r="I219" s="271" t="s">
        <v>852</v>
      </c>
      <c r="J219" s="272" t="s">
        <v>852</v>
      </c>
      <c r="K219" s="260" t="s">
        <v>1809</v>
      </c>
    </row>
    <row r="220" spans="1:11" x14ac:dyDescent="0.35">
      <c r="A220" s="188" t="s">
        <v>1001</v>
      </c>
      <c r="B220" s="206" t="s">
        <v>35</v>
      </c>
      <c r="C220" s="188" t="s">
        <v>359</v>
      </c>
      <c r="D220" s="195">
        <f>D222</f>
        <v>1.2717142857142858</v>
      </c>
      <c r="E220" s="196">
        <f>E222</f>
        <v>0.88659679163266381</v>
      </c>
      <c r="F220" s="196">
        <f t="shared" ref="F220" si="123">F222</f>
        <v>1.4517523793160141</v>
      </c>
      <c r="G220" s="196">
        <f t="shared" ref="G220" si="124">G222</f>
        <v>0.12340971756144148</v>
      </c>
      <c r="H220" s="201">
        <v>0.33800000000000002</v>
      </c>
      <c r="I220" s="273" t="s">
        <v>1186</v>
      </c>
      <c r="J220" s="274" t="s">
        <v>1186</v>
      </c>
      <c r="K220" s="260" t="s">
        <v>1786</v>
      </c>
    </row>
    <row r="221" spans="1:11" x14ac:dyDescent="0.35">
      <c r="A221" s="188" t="s">
        <v>1002</v>
      </c>
      <c r="B221" s="206" t="s">
        <v>35</v>
      </c>
      <c r="C221" s="188" t="s">
        <v>338</v>
      </c>
      <c r="D221" s="195">
        <f>D222</f>
        <v>1.2717142857142858</v>
      </c>
      <c r="E221" s="196">
        <f>E222</f>
        <v>0.88659679163266381</v>
      </c>
      <c r="F221" s="196">
        <f t="shared" ref="F221:G221" si="125">F222</f>
        <v>1.4517523793160141</v>
      </c>
      <c r="G221" s="196">
        <f t="shared" si="125"/>
        <v>0.12340971756144148</v>
      </c>
      <c r="H221" s="201"/>
      <c r="I221" s="273" t="s">
        <v>1186</v>
      </c>
      <c r="J221" s="274" t="s">
        <v>1186</v>
      </c>
      <c r="K221" s="260"/>
    </row>
    <row r="222" spans="1:11" x14ac:dyDescent="0.35">
      <c r="A222" s="188" t="s">
        <v>1003</v>
      </c>
      <c r="B222" s="206" t="s">
        <v>35</v>
      </c>
      <c r="C222" s="188" t="s">
        <v>20</v>
      </c>
      <c r="D222" s="195">
        <f>'Coral growth rates and density'!I525</f>
        <v>1.2717142857142858</v>
      </c>
      <c r="E222" s="196">
        <f>1.96*'Coral growth rates and density'!J525</f>
        <v>0.88659679163266381</v>
      </c>
      <c r="F222" s="196">
        <f>'Coral growth rates and density'!M525</f>
        <v>1.4517523793160141</v>
      </c>
      <c r="G222" s="196">
        <f>1.96*'Coral growth rates and density'!N525</f>
        <v>0.12340971756144148</v>
      </c>
      <c r="H222" s="197"/>
      <c r="I222" s="273"/>
      <c r="J222" s="274"/>
      <c r="K222" s="260"/>
    </row>
    <row r="223" spans="1:11" x14ac:dyDescent="0.35">
      <c r="A223" s="188" t="s">
        <v>1004</v>
      </c>
      <c r="B223" s="206" t="s">
        <v>35</v>
      </c>
      <c r="C223" s="188" t="s">
        <v>82</v>
      </c>
      <c r="D223" s="195">
        <f>D225</f>
        <v>1.2717142857142858</v>
      </c>
      <c r="E223" s="196">
        <f>E225</f>
        <v>0.88659679163266381</v>
      </c>
      <c r="F223" s="196">
        <f t="shared" ref="F223" si="126">F225</f>
        <v>1.4517523793160141</v>
      </c>
      <c r="G223" s="196">
        <f t="shared" ref="G223" si="127">G225</f>
        <v>0.12340971756144148</v>
      </c>
      <c r="H223" s="197"/>
      <c r="I223" s="273" t="s">
        <v>1186</v>
      </c>
      <c r="J223" s="274" t="s">
        <v>1186</v>
      </c>
      <c r="K223" s="260"/>
    </row>
    <row r="224" spans="1:11" x14ac:dyDescent="0.35">
      <c r="A224" s="188" t="s">
        <v>1005</v>
      </c>
      <c r="B224" s="206" t="s">
        <v>35</v>
      </c>
      <c r="C224" s="188" t="s">
        <v>508</v>
      </c>
      <c r="D224" s="195">
        <f>D222</f>
        <v>1.2717142857142858</v>
      </c>
      <c r="E224" s="196">
        <f>E222</f>
        <v>0.88659679163266381</v>
      </c>
      <c r="F224" s="196">
        <f t="shared" ref="F224" si="128">F222</f>
        <v>1.4517523793160141</v>
      </c>
      <c r="G224" s="196">
        <f t="shared" ref="G224" si="129">G222</f>
        <v>0.12340971756144148</v>
      </c>
      <c r="H224" s="197"/>
      <c r="I224" s="273" t="s">
        <v>1186</v>
      </c>
      <c r="J224" s="274" t="s">
        <v>1186</v>
      </c>
      <c r="K224" s="260"/>
    </row>
    <row r="225" spans="1:11" x14ac:dyDescent="0.35">
      <c r="A225" s="188" t="s">
        <v>1006</v>
      </c>
      <c r="B225" s="206" t="s">
        <v>35</v>
      </c>
      <c r="C225" s="188" t="s">
        <v>34</v>
      </c>
      <c r="D225" s="195">
        <f>'Coral growth rates and density'!I525</f>
        <v>1.2717142857142858</v>
      </c>
      <c r="E225" s="196">
        <f>1.96*'Coral growth rates and density'!J525</f>
        <v>0.88659679163266381</v>
      </c>
      <c r="F225" s="196">
        <f>'Coral growth rates and density'!M525</f>
        <v>1.4517523793160141</v>
      </c>
      <c r="G225" s="196">
        <f>1.96*'Coral growth rates and density'!N525</f>
        <v>0.12340971756144148</v>
      </c>
      <c r="H225" s="197"/>
      <c r="I225" s="273"/>
      <c r="J225" s="274"/>
      <c r="K225" s="260"/>
    </row>
    <row r="226" spans="1:11" x14ac:dyDescent="0.35">
      <c r="A226" s="207" t="s">
        <v>1666</v>
      </c>
      <c r="B226" s="208" t="s">
        <v>1667</v>
      </c>
      <c r="C226" s="207" t="s">
        <v>34</v>
      </c>
      <c r="D226" s="195">
        <f>D13</f>
        <v>1.2406808404987837</v>
      </c>
      <c r="E226" s="196">
        <f>E13</f>
        <v>0.23356698971471701</v>
      </c>
      <c r="F226" s="196">
        <f>F13</f>
        <v>1.4628419045982679</v>
      </c>
      <c r="G226" s="196">
        <f>G13</f>
        <v>0.16795432994976825</v>
      </c>
      <c r="H226" s="197"/>
      <c r="I226" s="273" t="s">
        <v>850</v>
      </c>
      <c r="J226" s="274" t="s">
        <v>850</v>
      </c>
      <c r="K226" s="262"/>
    </row>
    <row r="227" spans="1:11" x14ac:dyDescent="0.35">
      <c r="A227" s="188" t="s">
        <v>1439</v>
      </c>
      <c r="B227" s="188" t="s">
        <v>1440</v>
      </c>
      <c r="C227" s="188" t="s">
        <v>1318</v>
      </c>
      <c r="D227" s="202"/>
      <c r="E227" s="203"/>
      <c r="F227" s="203"/>
      <c r="G227" s="203"/>
      <c r="H227" s="209"/>
      <c r="I227" s="273"/>
      <c r="J227" s="274"/>
      <c r="K227" s="260"/>
    </row>
    <row r="228" spans="1:11" x14ac:dyDescent="0.35">
      <c r="A228" s="188" t="s">
        <v>1441</v>
      </c>
      <c r="B228" s="188" t="s">
        <v>1442</v>
      </c>
      <c r="C228" s="188" t="s">
        <v>1318</v>
      </c>
      <c r="D228" s="202"/>
      <c r="E228" s="203"/>
      <c r="F228" s="203"/>
      <c r="G228" s="203"/>
      <c r="H228" s="209"/>
      <c r="I228" s="273"/>
      <c r="J228" s="274"/>
      <c r="K228" s="260"/>
    </row>
    <row r="229" spans="1:11" x14ac:dyDescent="0.35">
      <c r="A229" s="188" t="s">
        <v>1443</v>
      </c>
      <c r="B229" s="188" t="s">
        <v>1444</v>
      </c>
      <c r="C229" s="188" t="s">
        <v>1318</v>
      </c>
      <c r="D229" s="202"/>
      <c r="E229" s="203"/>
      <c r="F229" s="203"/>
      <c r="G229" s="203"/>
      <c r="H229" s="209"/>
      <c r="I229" s="273"/>
      <c r="J229" s="274"/>
      <c r="K229" s="260"/>
    </row>
    <row r="230" spans="1:11" x14ac:dyDescent="0.35">
      <c r="A230" s="188" t="s">
        <v>1445</v>
      </c>
      <c r="B230" s="188" t="s">
        <v>1459</v>
      </c>
      <c r="C230" s="188" t="s">
        <v>810</v>
      </c>
      <c r="D230" s="195">
        <f>D52</f>
        <v>3.9577149122807027E-2</v>
      </c>
      <c r="E230" s="196">
        <f>E52</f>
        <v>1.7191643133031557E-2</v>
      </c>
      <c r="F230" s="196"/>
      <c r="G230" s="196"/>
      <c r="H230" s="201"/>
      <c r="I230" s="277"/>
      <c r="J230" s="274"/>
      <c r="K230" s="260"/>
    </row>
    <row r="231" spans="1:11" x14ac:dyDescent="0.35">
      <c r="A231" s="188" t="s">
        <v>1024</v>
      </c>
      <c r="B231" s="188" t="s">
        <v>1446</v>
      </c>
      <c r="C231" s="188" t="s">
        <v>1318</v>
      </c>
      <c r="D231" s="202"/>
      <c r="E231" s="203"/>
      <c r="F231" s="203"/>
      <c r="G231" s="203"/>
      <c r="H231" s="209"/>
      <c r="I231" s="273"/>
      <c r="J231" s="274"/>
      <c r="K231" s="260"/>
    </row>
    <row r="232" spans="1:11" x14ac:dyDescent="0.35">
      <c r="A232" s="188" t="s">
        <v>1447</v>
      </c>
      <c r="B232" s="188" t="s">
        <v>1448</v>
      </c>
      <c r="C232" s="188" t="s">
        <v>1318</v>
      </c>
      <c r="D232" s="202"/>
      <c r="E232" s="203"/>
      <c r="F232" s="203"/>
      <c r="G232" s="203"/>
      <c r="H232" s="209"/>
      <c r="I232" s="273"/>
      <c r="J232" s="274"/>
      <c r="K232" s="260"/>
    </row>
    <row r="233" spans="1:11" x14ac:dyDescent="0.35">
      <c r="A233" s="207" t="s">
        <v>1668</v>
      </c>
      <c r="B233" s="208" t="s">
        <v>1669</v>
      </c>
      <c r="C233" s="207" t="s">
        <v>883</v>
      </c>
      <c r="D233" s="195">
        <f>D95</f>
        <v>0.91899999999999993</v>
      </c>
      <c r="E233" s="196">
        <f>E95</f>
        <v>0.31802572893818931</v>
      </c>
      <c r="F233" s="196">
        <f>F95</f>
        <v>1.99</v>
      </c>
      <c r="G233" s="196">
        <f>G95</f>
        <v>0</v>
      </c>
      <c r="H233" s="197"/>
      <c r="I233" s="273" t="s">
        <v>1141</v>
      </c>
      <c r="J233" s="274" t="s">
        <v>1141</v>
      </c>
      <c r="K233" s="260" t="s">
        <v>1744</v>
      </c>
    </row>
    <row r="234" spans="1:11" x14ac:dyDescent="0.35">
      <c r="A234" s="207" t="s">
        <v>1670</v>
      </c>
      <c r="B234" s="208" t="s">
        <v>1671</v>
      </c>
      <c r="C234" s="207" t="s">
        <v>508</v>
      </c>
      <c r="D234" s="210">
        <f>D16</f>
        <v>2.2966219024782268</v>
      </c>
      <c r="E234" s="200">
        <f>E16</f>
        <v>0.41422715045645991</v>
      </c>
      <c r="F234" s="200">
        <f>F16</f>
        <v>1.3963053641313035</v>
      </c>
      <c r="G234" s="200">
        <f>G16</f>
        <v>0.18318860373546536</v>
      </c>
      <c r="H234" s="201"/>
      <c r="I234" s="273" t="s">
        <v>853</v>
      </c>
      <c r="J234" s="274" t="s">
        <v>853</v>
      </c>
      <c r="K234" s="262" t="s">
        <v>1811</v>
      </c>
    </row>
    <row r="235" spans="1:11" x14ac:dyDescent="0.35">
      <c r="A235" s="207" t="s">
        <v>1672</v>
      </c>
      <c r="B235" s="208" t="s">
        <v>1671</v>
      </c>
      <c r="C235" s="207" t="s">
        <v>338</v>
      </c>
      <c r="D235" s="210">
        <f>D12</f>
        <v>1.1068666666666667</v>
      </c>
      <c r="E235" s="200">
        <f>E12</f>
        <v>0.11630500465777238</v>
      </c>
      <c r="F235" s="200">
        <f>F12</f>
        <v>1.2004636652361285</v>
      </c>
      <c r="G235" s="200">
        <f>G12</f>
        <v>8.9478605771911329E-2</v>
      </c>
      <c r="H235" s="201"/>
      <c r="I235" s="273" t="s">
        <v>849</v>
      </c>
      <c r="J235" s="274" t="s">
        <v>849</v>
      </c>
      <c r="K235" s="262" t="s">
        <v>1811</v>
      </c>
    </row>
    <row r="236" spans="1:11" x14ac:dyDescent="0.35">
      <c r="A236" s="188" t="s">
        <v>1007</v>
      </c>
      <c r="B236" s="206" t="s">
        <v>392</v>
      </c>
      <c r="C236" s="188" t="s">
        <v>359</v>
      </c>
      <c r="D236" s="195">
        <f>'Coral growth rates and density'!I529</f>
        <v>1.5783333333333331</v>
      </c>
      <c r="E236" s="196">
        <f>1.96*'Coral growth rates and density'!J529</f>
        <v>0.49203200889553783</v>
      </c>
      <c r="F236" s="196">
        <f>F11</f>
        <v>1.4323073593073592</v>
      </c>
      <c r="G236" s="196">
        <f>G11</f>
        <v>0.13958366373481726</v>
      </c>
      <c r="H236" s="197">
        <v>0.14099999999999999</v>
      </c>
      <c r="I236" s="273"/>
      <c r="J236" s="274" t="s">
        <v>847</v>
      </c>
      <c r="K236" s="260"/>
    </row>
    <row r="237" spans="1:11" x14ac:dyDescent="0.35">
      <c r="A237" s="215" t="s">
        <v>1008</v>
      </c>
      <c r="B237" s="216" t="s">
        <v>1009</v>
      </c>
      <c r="C237" s="215" t="s">
        <v>20</v>
      </c>
      <c r="D237" s="210">
        <f>D13</f>
        <v>1.2406808404987837</v>
      </c>
      <c r="E237" s="200">
        <f>E13</f>
        <v>0.23356698971471701</v>
      </c>
      <c r="F237" s="200">
        <f>F13</f>
        <v>1.4628419045982679</v>
      </c>
      <c r="G237" s="200">
        <f>G13</f>
        <v>0.16795432994976825</v>
      </c>
      <c r="H237" s="201"/>
      <c r="I237" s="271" t="s">
        <v>850</v>
      </c>
      <c r="J237" s="272" t="s">
        <v>850</v>
      </c>
      <c r="K237" s="260" t="s">
        <v>1810</v>
      </c>
    </row>
    <row r="238" spans="1:11" x14ac:dyDescent="0.35">
      <c r="A238" s="215" t="s">
        <v>1010</v>
      </c>
      <c r="B238" s="216" t="s">
        <v>1009</v>
      </c>
      <c r="C238" s="215" t="s">
        <v>82</v>
      </c>
      <c r="D238" s="210">
        <f>D15</f>
        <v>0.90692311241565837</v>
      </c>
      <c r="E238" s="200">
        <f>E15</f>
        <v>0.19328579499248366</v>
      </c>
      <c r="F238" s="200">
        <f>F15</f>
        <v>1.2004636652361285</v>
      </c>
      <c r="G238" s="200">
        <f>G15</f>
        <v>8.9478605771911329E-2</v>
      </c>
      <c r="H238" s="201"/>
      <c r="I238" s="271" t="s">
        <v>852</v>
      </c>
      <c r="J238" s="272" t="s">
        <v>852</v>
      </c>
      <c r="K238" s="260" t="s">
        <v>1810</v>
      </c>
    </row>
    <row r="239" spans="1:11" x14ac:dyDescent="0.35">
      <c r="A239" s="188" t="s">
        <v>1449</v>
      </c>
      <c r="B239" s="188" t="s">
        <v>1450</v>
      </c>
      <c r="C239" s="188" t="s">
        <v>810</v>
      </c>
      <c r="D239" s="195">
        <f>D52</f>
        <v>3.9577149122807027E-2</v>
      </c>
      <c r="E239" s="196">
        <f>E52</f>
        <v>1.7191643133031557E-2</v>
      </c>
      <c r="F239" s="196">
        <f t="shared" ref="F239" si="130">F52</f>
        <v>0</v>
      </c>
      <c r="G239" s="196">
        <f t="shared" ref="G239" si="131">G52</f>
        <v>0</v>
      </c>
      <c r="H239" s="201"/>
      <c r="I239" s="271"/>
      <c r="J239" s="272"/>
      <c r="K239" s="260"/>
    </row>
    <row r="240" spans="1:11" x14ac:dyDescent="0.35">
      <c r="A240" s="188" t="s">
        <v>1451</v>
      </c>
      <c r="B240" s="188" t="s">
        <v>1452</v>
      </c>
      <c r="C240" s="188" t="s">
        <v>1318</v>
      </c>
      <c r="D240" s="202"/>
      <c r="E240" s="203"/>
      <c r="F240" s="203"/>
      <c r="G240" s="203"/>
      <c r="H240" s="209"/>
      <c r="I240" s="271"/>
      <c r="J240" s="272"/>
      <c r="K240" s="260"/>
    </row>
    <row r="241" spans="1:12" x14ac:dyDescent="0.35">
      <c r="A241" s="188" t="s">
        <v>1453</v>
      </c>
      <c r="B241" s="188" t="s">
        <v>1454</v>
      </c>
      <c r="C241" s="188" t="s">
        <v>1318</v>
      </c>
      <c r="D241" s="202"/>
      <c r="E241" s="203"/>
      <c r="F241" s="203"/>
      <c r="G241" s="203"/>
      <c r="H241" s="209"/>
      <c r="I241" s="271"/>
      <c r="J241" s="272"/>
      <c r="K241" s="260"/>
    </row>
    <row r="242" spans="1:12" x14ac:dyDescent="0.35">
      <c r="A242" s="188" t="s">
        <v>1011</v>
      </c>
      <c r="B242" s="206" t="s">
        <v>1012</v>
      </c>
      <c r="C242" s="188" t="s">
        <v>338</v>
      </c>
      <c r="D242" s="195">
        <f t="shared" ref="D242:F243" si="132">D12</f>
        <v>1.1068666666666667</v>
      </c>
      <c r="E242" s="196">
        <f t="shared" ref="E242" si="133">E12</f>
        <v>0.11630500465777238</v>
      </c>
      <c r="F242" s="196">
        <f t="shared" si="132"/>
        <v>1.2004636652361285</v>
      </c>
      <c r="G242" s="196">
        <f t="shared" ref="G242" si="134">G12</f>
        <v>8.9478605771911329E-2</v>
      </c>
      <c r="H242" s="197">
        <v>0.32700000000000001</v>
      </c>
      <c r="I242" s="271" t="s">
        <v>849</v>
      </c>
      <c r="J242" s="272" t="s">
        <v>849</v>
      </c>
      <c r="K242" s="260"/>
    </row>
    <row r="243" spans="1:12" x14ac:dyDescent="0.35">
      <c r="A243" s="188" t="s">
        <v>1013</v>
      </c>
      <c r="B243" s="206" t="s">
        <v>1012</v>
      </c>
      <c r="C243" s="188" t="s">
        <v>20</v>
      </c>
      <c r="D243" s="195">
        <f t="shared" si="132"/>
        <v>1.2406808404987837</v>
      </c>
      <c r="E243" s="196">
        <f t="shared" ref="E243" si="135">E13</f>
        <v>0.23356698971471701</v>
      </c>
      <c r="F243" s="196">
        <f t="shared" si="132"/>
        <v>1.4628419045982679</v>
      </c>
      <c r="G243" s="196">
        <f t="shared" ref="G243" si="136">G13</f>
        <v>0.16795432994976825</v>
      </c>
      <c r="H243" s="197"/>
      <c r="I243" s="271" t="s">
        <v>850</v>
      </c>
      <c r="J243" s="272" t="s">
        <v>850</v>
      </c>
      <c r="K243" s="260"/>
    </row>
    <row r="244" spans="1:12" x14ac:dyDescent="0.35">
      <c r="A244" s="188" t="s">
        <v>1014</v>
      </c>
      <c r="B244" s="206" t="s">
        <v>1012</v>
      </c>
      <c r="C244" s="188" t="s">
        <v>34</v>
      </c>
      <c r="D244" s="195">
        <f>D17</f>
        <v>1.7212028571428573</v>
      </c>
      <c r="E244" s="196">
        <f>E17</f>
        <v>1.1329047148307578</v>
      </c>
      <c r="F244" s="196">
        <f>F17</f>
        <v>1.2596838091965361</v>
      </c>
      <c r="G244" s="196">
        <f>G17</f>
        <v>0.1521661074316065</v>
      </c>
      <c r="H244" s="197"/>
      <c r="I244" s="271" t="s">
        <v>854</v>
      </c>
      <c r="J244" s="272" t="s">
        <v>854</v>
      </c>
      <c r="K244" s="260"/>
    </row>
    <row r="245" spans="1:12" x14ac:dyDescent="0.35">
      <c r="A245" s="188" t="s">
        <v>1015</v>
      </c>
      <c r="B245" s="206" t="s">
        <v>378</v>
      </c>
      <c r="C245" s="188" t="s">
        <v>359</v>
      </c>
      <c r="D245" s="195">
        <f>'Coral growth rates and density'!I535</f>
        <v>1.7261299999999999</v>
      </c>
      <c r="E245" s="196">
        <f>1.96*'Coral growth rates and density'!J535</f>
        <v>0.67024756176433842</v>
      </c>
      <c r="F245" s="196">
        <f>F11</f>
        <v>1.4323073593073592</v>
      </c>
      <c r="G245" s="196">
        <f>G11</f>
        <v>0.13958366373481726</v>
      </c>
      <c r="H245" s="197">
        <v>0.32700000000000001</v>
      </c>
      <c r="I245" s="273"/>
      <c r="J245" s="274" t="s">
        <v>847</v>
      </c>
      <c r="K245" s="260"/>
    </row>
    <row r="246" spans="1:12" x14ac:dyDescent="0.35">
      <c r="A246" s="188" t="s">
        <v>1016</v>
      </c>
      <c r="B246" s="206" t="s">
        <v>378</v>
      </c>
      <c r="C246" s="188" t="s">
        <v>34</v>
      </c>
      <c r="D246" s="195">
        <f>D245</f>
        <v>1.7261299999999999</v>
      </c>
      <c r="E246" s="196">
        <f>E245</f>
        <v>0.67024756176433842</v>
      </c>
      <c r="F246" s="196">
        <f>F245</f>
        <v>1.4323073593073592</v>
      </c>
      <c r="G246" s="196">
        <f>G245</f>
        <v>0.13958366373481726</v>
      </c>
      <c r="H246" s="197">
        <v>0.32700000000000001</v>
      </c>
      <c r="I246" s="273" t="s">
        <v>1015</v>
      </c>
      <c r="J246" s="274" t="s">
        <v>847</v>
      </c>
      <c r="K246" s="260" t="s">
        <v>1216</v>
      </c>
    </row>
    <row r="247" spans="1:12" x14ac:dyDescent="0.35">
      <c r="A247" s="215" t="s">
        <v>1017</v>
      </c>
      <c r="B247" s="216" t="s">
        <v>1018</v>
      </c>
      <c r="C247" s="215" t="s">
        <v>20</v>
      </c>
      <c r="D247" s="195">
        <f>D144</f>
        <v>1.0231704741233698</v>
      </c>
      <c r="E247" s="196">
        <f>E144</f>
        <v>0.43478057324390612</v>
      </c>
      <c r="F247" s="196">
        <f>F144</f>
        <v>1.1283614541628804</v>
      </c>
      <c r="G247" s="196">
        <f>G144</f>
        <v>0.11867547841216843</v>
      </c>
      <c r="H247" s="197"/>
      <c r="I247" s="273" t="s">
        <v>939</v>
      </c>
      <c r="J247" s="274" t="s">
        <v>939</v>
      </c>
      <c r="K247" s="267" t="s">
        <v>1789</v>
      </c>
    </row>
    <row r="248" spans="1:12" x14ac:dyDescent="0.35">
      <c r="A248" s="215" t="s">
        <v>1019</v>
      </c>
      <c r="B248" s="216" t="s">
        <v>1018</v>
      </c>
      <c r="C248" s="215" t="s">
        <v>82</v>
      </c>
      <c r="D248" s="195">
        <f>D144</f>
        <v>1.0231704741233698</v>
      </c>
      <c r="E248" s="196">
        <f>E144</f>
        <v>0.43478057324390612</v>
      </c>
      <c r="F248" s="196">
        <f>F144</f>
        <v>1.1283614541628804</v>
      </c>
      <c r="G248" s="196">
        <f>G144</f>
        <v>0.11867547841216843</v>
      </c>
      <c r="H248" s="197"/>
      <c r="I248" s="273" t="s">
        <v>939</v>
      </c>
      <c r="J248" s="274" t="s">
        <v>939</v>
      </c>
      <c r="K248" s="267" t="s">
        <v>1789</v>
      </c>
    </row>
    <row r="249" spans="1:12" x14ac:dyDescent="0.35">
      <c r="A249" s="207" t="s">
        <v>1673</v>
      </c>
      <c r="B249" s="208" t="s">
        <v>1674</v>
      </c>
      <c r="C249" s="207" t="s">
        <v>883</v>
      </c>
      <c r="D249" s="195">
        <f>D95</f>
        <v>0.91899999999999993</v>
      </c>
      <c r="E249" s="196">
        <f>E95</f>
        <v>0.31802572893818931</v>
      </c>
      <c r="F249" s="196">
        <f>F95</f>
        <v>1.99</v>
      </c>
      <c r="G249" s="196">
        <f>G95</f>
        <v>0</v>
      </c>
      <c r="H249" s="197"/>
      <c r="I249" s="273" t="s">
        <v>1141</v>
      </c>
      <c r="J249" s="274" t="s">
        <v>1141</v>
      </c>
      <c r="K249" s="260" t="s">
        <v>1744</v>
      </c>
    </row>
    <row r="250" spans="1:12" x14ac:dyDescent="0.35">
      <c r="A250" s="188" t="s">
        <v>1455</v>
      </c>
      <c r="B250" s="188" t="s">
        <v>1456</v>
      </c>
      <c r="C250" s="188" t="s">
        <v>1318</v>
      </c>
      <c r="D250" s="202"/>
      <c r="E250" s="203"/>
      <c r="F250" s="203"/>
      <c r="G250" s="203"/>
      <c r="H250" s="209"/>
      <c r="I250" s="273"/>
      <c r="J250" s="274"/>
      <c r="K250" s="260"/>
    </row>
    <row r="251" spans="1:12" x14ac:dyDescent="0.35">
      <c r="A251" s="188" t="s">
        <v>1020</v>
      </c>
      <c r="B251" s="206" t="s">
        <v>601</v>
      </c>
      <c r="C251" s="188" t="s">
        <v>359</v>
      </c>
      <c r="D251" s="195">
        <f>D254</f>
        <v>1.9833333333333334</v>
      </c>
      <c r="E251" s="196">
        <f>E254</f>
        <v>1.4994676092237238</v>
      </c>
      <c r="F251" s="196">
        <f t="shared" ref="F251" si="137">F254</f>
        <v>1.2675000000000001</v>
      </c>
      <c r="G251" s="196">
        <f t="shared" ref="G251" si="138">G254</f>
        <v>9.8772786400573659E-2</v>
      </c>
      <c r="H251" s="197">
        <f>AVERAGE(0.19,0.364,0.141,0.327)</f>
        <v>0.2555</v>
      </c>
      <c r="I251" s="273" t="s">
        <v>1023</v>
      </c>
      <c r="J251" s="274" t="s">
        <v>1023</v>
      </c>
      <c r="K251" s="260" t="s">
        <v>1217</v>
      </c>
    </row>
    <row r="252" spans="1:12" x14ac:dyDescent="0.35">
      <c r="A252" s="188" t="s">
        <v>1021</v>
      </c>
      <c r="B252" s="206" t="s">
        <v>601</v>
      </c>
      <c r="C252" s="188" t="s">
        <v>20</v>
      </c>
      <c r="D252" s="195">
        <f>D254</f>
        <v>1.9833333333333334</v>
      </c>
      <c r="E252" s="196">
        <f>E254</f>
        <v>1.4994676092237238</v>
      </c>
      <c r="F252" s="196">
        <f t="shared" ref="F252" si="139">F254</f>
        <v>1.2675000000000001</v>
      </c>
      <c r="G252" s="196">
        <f t="shared" ref="G252" si="140">G254</f>
        <v>9.8772786400573659E-2</v>
      </c>
      <c r="H252" s="197"/>
      <c r="I252" s="273" t="s">
        <v>1023</v>
      </c>
      <c r="J252" s="274" t="s">
        <v>1023</v>
      </c>
      <c r="K252" s="260" t="s">
        <v>1218</v>
      </c>
      <c r="L252" s="194"/>
    </row>
    <row r="253" spans="1:12" x14ac:dyDescent="0.35">
      <c r="A253" s="188" t="s">
        <v>1022</v>
      </c>
      <c r="B253" s="206" t="s">
        <v>601</v>
      </c>
      <c r="C253" s="188" t="s">
        <v>644</v>
      </c>
      <c r="D253" s="195">
        <f>'Coral growth rates and density'!I541</f>
        <v>1.9833333333333334</v>
      </c>
      <c r="E253" s="196">
        <f>1.96*'Coral growth rates and density'!J541</f>
        <v>1.4994676092237238</v>
      </c>
      <c r="F253" s="196">
        <f>'Coral growth rates and density'!M541</f>
        <v>1.2675000000000001</v>
      </c>
      <c r="G253" s="196">
        <f>1.96*'Coral growth rates and density'!N541</f>
        <v>9.8772786400573659E-2</v>
      </c>
      <c r="H253" s="197"/>
      <c r="I253" s="273"/>
      <c r="J253" s="274"/>
      <c r="K253" s="260"/>
      <c r="L253" s="194"/>
    </row>
    <row r="254" spans="1:12" x14ac:dyDescent="0.35">
      <c r="A254" s="188" t="s">
        <v>1023</v>
      </c>
      <c r="B254" s="206" t="s">
        <v>601</v>
      </c>
      <c r="C254" s="188" t="s">
        <v>508</v>
      </c>
      <c r="D254" s="195">
        <f>'Coral growth rates and density'!I541</f>
        <v>1.9833333333333334</v>
      </c>
      <c r="E254" s="196">
        <f>1.96*'Coral growth rates and density'!J541</f>
        <v>1.4994676092237238</v>
      </c>
      <c r="F254" s="196">
        <f>'Coral growth rates and density'!M541</f>
        <v>1.2675000000000001</v>
      </c>
      <c r="G254" s="196">
        <f>1.96*'Coral growth rates and density'!N541</f>
        <v>9.8772786400573659E-2</v>
      </c>
      <c r="H254" s="197"/>
      <c r="I254" s="273"/>
      <c r="J254" s="274"/>
      <c r="K254" s="260"/>
      <c r="L254" s="194"/>
    </row>
    <row r="255" spans="1:12" x14ac:dyDescent="0.35">
      <c r="A255" s="207" t="s">
        <v>1675</v>
      </c>
      <c r="B255" s="208" t="s">
        <v>1676</v>
      </c>
      <c r="C255" s="207" t="s">
        <v>883</v>
      </c>
      <c r="D255" s="195">
        <f>D95</f>
        <v>0.91899999999999993</v>
      </c>
      <c r="E255" s="196">
        <f>E95</f>
        <v>0.31802572893818931</v>
      </c>
      <c r="F255" s="196">
        <f t="shared" ref="F255" si="141">F95</f>
        <v>1.99</v>
      </c>
      <c r="G255" s="196">
        <f t="shared" ref="G255" si="142">G95</f>
        <v>0</v>
      </c>
      <c r="H255" s="197"/>
      <c r="I255" s="273" t="s">
        <v>1141</v>
      </c>
      <c r="J255" s="274" t="s">
        <v>1141</v>
      </c>
      <c r="K255" s="260" t="s">
        <v>1744</v>
      </c>
      <c r="L255" s="194"/>
    </row>
    <row r="256" spans="1:12" x14ac:dyDescent="0.35">
      <c r="A256" s="188" t="s">
        <v>1457</v>
      </c>
      <c r="B256" s="188" t="s">
        <v>1458</v>
      </c>
      <c r="C256" s="188" t="s">
        <v>1318</v>
      </c>
      <c r="D256" s="220"/>
      <c r="E256" s="221"/>
      <c r="F256" s="222"/>
      <c r="G256" s="222"/>
      <c r="H256" s="223"/>
      <c r="I256" s="281"/>
      <c r="J256" s="282"/>
      <c r="K256" s="268"/>
      <c r="L256" s="194"/>
    </row>
    <row r="257" spans="2:10" x14ac:dyDescent="0.35">
      <c r="B257" s="194"/>
      <c r="C257" s="194"/>
      <c r="D257" s="224"/>
      <c r="E257" s="224"/>
      <c r="F257" s="193"/>
      <c r="G257" s="193"/>
      <c r="H257" s="193"/>
      <c r="I257" s="192"/>
      <c r="J257" s="192"/>
    </row>
    <row r="258" spans="2:10" x14ac:dyDescent="0.35">
      <c r="B258" s="194"/>
      <c r="C258" s="194"/>
      <c r="D258" s="224"/>
      <c r="E258" s="224"/>
      <c r="F258" s="193"/>
      <c r="G258" s="193"/>
      <c r="H258" s="193"/>
      <c r="I258" s="192"/>
      <c r="J258" s="192"/>
    </row>
    <row r="259" spans="2:10" x14ac:dyDescent="0.35">
      <c r="B259" s="194"/>
      <c r="C259" s="194"/>
      <c r="D259" s="224"/>
      <c r="E259" s="224"/>
      <c r="F259" s="193"/>
      <c r="G259" s="193"/>
      <c r="H259" s="193"/>
      <c r="I259" s="192"/>
      <c r="J259" s="192"/>
    </row>
  </sheetData>
  <protectedRanges>
    <protectedRange sqref="H252:H256" name="Range1_1_3_1"/>
    <protectedRange sqref="H11:H43 H45:H93 H95:H251" name="Range1_1_1_2_1"/>
    <protectedRange sqref="H94" name="Range1_1_1_2_1_1"/>
  </protectedRanges>
  <mergeCells count="5">
    <mergeCell ref="B2:E2"/>
    <mergeCell ref="B4:D5"/>
    <mergeCell ref="B3:D3"/>
    <mergeCell ref="H5:L5"/>
    <mergeCell ref="H6: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G65"/>
  <sheetViews>
    <sheetView zoomScale="80" zoomScaleNormal="80" workbookViewId="0">
      <selection activeCell="I34" sqref="I34"/>
    </sheetView>
  </sheetViews>
  <sheetFormatPr defaultRowHeight="14.5" x14ac:dyDescent="0.35"/>
  <cols>
    <col min="1" max="1" width="15.08984375" style="3" customWidth="1"/>
    <col min="2" max="2" width="9.453125" style="3" bestFit="1" customWidth="1"/>
    <col min="3" max="3" width="11.6328125" style="3" bestFit="1" customWidth="1"/>
    <col min="4" max="4" width="20.453125" style="3" customWidth="1"/>
    <col min="5" max="5" width="87.6328125" style="3" customWidth="1"/>
    <col min="6" max="6" width="15.08984375" style="4" customWidth="1"/>
    <col min="7" max="7" width="14.90625" style="4" customWidth="1"/>
    <col min="8" max="8" width="14.453125" style="4" customWidth="1"/>
    <col min="9" max="9" width="8.08984375" style="4" customWidth="1"/>
    <col min="10" max="10" width="13.08984375" style="4" customWidth="1"/>
    <col min="11" max="11" width="10.36328125" style="3" customWidth="1"/>
    <col min="12" max="12" width="20.453125" style="3" customWidth="1"/>
    <col min="13" max="13" width="13" style="3" customWidth="1"/>
    <col min="14" max="17" width="20.453125" style="3" customWidth="1"/>
    <col min="18" max="18" width="31.54296875" style="3" customWidth="1"/>
    <col min="19" max="33" width="20.453125" style="3" customWidth="1"/>
  </cols>
  <sheetData>
    <row r="1" spans="1:33" s="95" customFormat="1" ht="43" thickBot="1" x14ac:dyDescent="0.4">
      <c r="A1" s="89" t="s">
        <v>784</v>
      </c>
      <c r="B1" s="89" t="s">
        <v>783</v>
      </c>
      <c r="C1" s="89" t="s">
        <v>786</v>
      </c>
      <c r="D1" s="89" t="s">
        <v>787</v>
      </c>
      <c r="E1" s="89" t="s">
        <v>770</v>
      </c>
      <c r="F1" s="90" t="s">
        <v>788</v>
      </c>
      <c r="G1" s="90" t="s">
        <v>789</v>
      </c>
      <c r="H1" s="90" t="s">
        <v>790</v>
      </c>
      <c r="I1" s="90" t="s">
        <v>1024</v>
      </c>
      <c r="J1" s="90" t="s">
        <v>1260</v>
      </c>
      <c r="K1" s="91" t="s">
        <v>791</v>
      </c>
      <c r="L1" s="89" t="s">
        <v>777</v>
      </c>
      <c r="M1" s="92" t="s">
        <v>776</v>
      </c>
      <c r="N1" s="89" t="s">
        <v>775</v>
      </c>
      <c r="O1" s="89" t="s">
        <v>774</v>
      </c>
      <c r="P1" s="89" t="s">
        <v>773</v>
      </c>
      <c r="Q1" s="89" t="s">
        <v>772</v>
      </c>
      <c r="R1" s="93" t="s">
        <v>771</v>
      </c>
      <c r="S1" s="94"/>
      <c r="T1" s="94"/>
      <c r="U1" s="94"/>
      <c r="V1" s="94"/>
      <c r="W1" s="94"/>
      <c r="X1" s="94"/>
      <c r="Y1" s="94"/>
      <c r="Z1" s="94"/>
      <c r="AA1" s="94"/>
      <c r="AB1" s="94"/>
      <c r="AC1" s="94"/>
      <c r="AD1" s="94"/>
      <c r="AE1" s="94"/>
      <c r="AF1" s="94"/>
      <c r="AG1" s="94"/>
    </row>
    <row r="2" spans="1:33" x14ac:dyDescent="0.35">
      <c r="A2" s="3" t="s">
        <v>810</v>
      </c>
      <c r="B2" s="25"/>
      <c r="C2" s="3" t="s">
        <v>20</v>
      </c>
      <c r="D2" s="3" t="s">
        <v>797</v>
      </c>
      <c r="E2" s="100" t="s">
        <v>1462</v>
      </c>
      <c r="F2" s="103" t="s">
        <v>1221</v>
      </c>
      <c r="G2" s="103" t="s">
        <v>1220</v>
      </c>
      <c r="H2" s="106">
        <v>0.12289410202677953</v>
      </c>
      <c r="I2" s="103">
        <v>5.2766233396767913E-2</v>
      </c>
      <c r="J2" s="103">
        <v>1.56</v>
      </c>
      <c r="L2" s="3" t="s">
        <v>798</v>
      </c>
      <c r="M2" s="26" t="s">
        <v>799</v>
      </c>
      <c r="N2" s="3" t="s">
        <v>198</v>
      </c>
      <c r="O2" s="3" t="s">
        <v>800</v>
      </c>
      <c r="Q2" s="3" t="s">
        <v>85</v>
      </c>
      <c r="R2" s="2" t="s">
        <v>801</v>
      </c>
    </row>
    <row r="3" spans="1:33" x14ac:dyDescent="0.35">
      <c r="A3" s="3" t="s">
        <v>1266</v>
      </c>
      <c r="B3" s="25"/>
      <c r="C3" s="3" t="s">
        <v>20</v>
      </c>
      <c r="D3" s="3" t="s">
        <v>813</v>
      </c>
      <c r="E3" s="99" t="s">
        <v>1228</v>
      </c>
      <c r="F3" s="103"/>
      <c r="G3" s="103"/>
      <c r="H3" s="106">
        <v>6.5000000000000002E-2</v>
      </c>
      <c r="I3" s="103">
        <v>4.2000000000000003E-2</v>
      </c>
      <c r="J3" s="103"/>
      <c r="L3" s="3" t="s">
        <v>814</v>
      </c>
      <c r="M3" s="28" t="s">
        <v>815</v>
      </c>
      <c r="N3" s="3" t="s">
        <v>816</v>
      </c>
      <c r="O3" s="3" t="s">
        <v>816</v>
      </c>
      <c r="Q3" s="3" t="s">
        <v>37</v>
      </c>
      <c r="R3" s="2" t="s">
        <v>1222</v>
      </c>
    </row>
    <row r="4" spans="1:33" x14ac:dyDescent="0.35">
      <c r="A4" s="3" t="s">
        <v>1266</v>
      </c>
      <c r="B4" s="25"/>
      <c r="C4" s="3" t="s">
        <v>20</v>
      </c>
      <c r="D4" s="3" t="s">
        <v>813</v>
      </c>
      <c r="E4" s="99" t="s">
        <v>1229</v>
      </c>
      <c r="F4" s="103"/>
      <c r="G4" s="103"/>
      <c r="H4" s="106">
        <f>AVERAGE(0.018,0.022)</f>
        <v>1.9999999999999997E-2</v>
      </c>
      <c r="I4" s="103">
        <f>AVERAGE(0.019,0.019)</f>
        <v>1.9E-2</v>
      </c>
      <c r="J4" s="103">
        <v>1.26</v>
      </c>
      <c r="L4" s="3" t="s">
        <v>814</v>
      </c>
      <c r="M4" s="28" t="s">
        <v>815</v>
      </c>
      <c r="N4" s="3" t="s">
        <v>689</v>
      </c>
      <c r="O4" s="3" t="s">
        <v>1235</v>
      </c>
      <c r="P4" s="3" t="s">
        <v>1225</v>
      </c>
      <c r="Q4" s="3" t="s">
        <v>37</v>
      </c>
      <c r="R4" s="2" t="s">
        <v>1222</v>
      </c>
    </row>
    <row r="5" spans="1:33" x14ac:dyDescent="0.35">
      <c r="A5" s="3" t="s">
        <v>1266</v>
      </c>
      <c r="B5" s="25"/>
      <c r="C5" s="3" t="s">
        <v>20</v>
      </c>
      <c r="D5" s="3" t="s">
        <v>813</v>
      </c>
      <c r="E5" s="99" t="s">
        <v>1238</v>
      </c>
      <c r="F5" s="103"/>
      <c r="G5" s="103"/>
      <c r="H5" s="106">
        <f>AVERAGE(0.113, 0.097)</f>
        <v>0.10500000000000001</v>
      </c>
      <c r="I5" s="103">
        <f>AVERAGE(0.054, 0.059)</f>
        <v>5.6499999999999995E-2</v>
      </c>
      <c r="J5" s="103"/>
      <c r="L5" s="3" t="s">
        <v>817</v>
      </c>
      <c r="M5" s="28" t="s">
        <v>815</v>
      </c>
      <c r="N5" s="3" t="s">
        <v>244</v>
      </c>
      <c r="O5" s="3" t="s">
        <v>1224</v>
      </c>
      <c r="Q5" s="3" t="s">
        <v>37</v>
      </c>
      <c r="R5" s="2" t="s">
        <v>1222</v>
      </c>
    </row>
    <row r="6" spans="1:33" x14ac:dyDescent="0.35">
      <c r="A6" s="3" t="s">
        <v>1266</v>
      </c>
      <c r="B6" s="25"/>
      <c r="C6" s="3" t="s">
        <v>20</v>
      </c>
      <c r="D6" s="3" t="s">
        <v>813</v>
      </c>
      <c r="E6" s="99" t="s">
        <v>1238</v>
      </c>
      <c r="F6" s="103"/>
      <c r="G6" s="103"/>
      <c r="H6" s="106">
        <f>AVERAGE(0.043, 0.051)</f>
        <v>4.7E-2</v>
      </c>
      <c r="I6" s="103">
        <f>AVERAGE(0.004,0.013)</f>
        <v>8.5000000000000006E-3</v>
      </c>
      <c r="J6" s="103"/>
      <c r="L6" s="3" t="s">
        <v>817</v>
      </c>
      <c r="M6" s="28" t="s">
        <v>815</v>
      </c>
      <c r="N6" s="3" t="s">
        <v>244</v>
      </c>
      <c r="O6" s="3" t="s">
        <v>1223</v>
      </c>
      <c r="Q6" s="3" t="s">
        <v>37</v>
      </c>
      <c r="R6" s="2" t="s">
        <v>1222</v>
      </c>
    </row>
    <row r="7" spans="1:33" x14ac:dyDescent="0.35">
      <c r="A7" s="3" t="s">
        <v>810</v>
      </c>
      <c r="C7" s="3" t="s">
        <v>20</v>
      </c>
      <c r="D7" s="3" t="s">
        <v>1231</v>
      </c>
      <c r="E7" s="98" t="s">
        <v>1232</v>
      </c>
      <c r="F7" s="103">
        <v>0.63700000000000001</v>
      </c>
      <c r="G7" s="103"/>
      <c r="H7" s="106">
        <v>4.5100000000000001E-2</v>
      </c>
      <c r="I7" s="103">
        <v>1.9E-2</v>
      </c>
      <c r="J7" s="103"/>
      <c r="L7" s="3" t="s">
        <v>257</v>
      </c>
      <c r="M7" s="28" t="s">
        <v>815</v>
      </c>
      <c r="N7" s="3" t="s">
        <v>26</v>
      </c>
      <c r="O7" s="3" t="s">
        <v>827</v>
      </c>
      <c r="Q7" s="3" t="s">
        <v>24</v>
      </c>
      <c r="R7" s="29" t="s">
        <v>828</v>
      </c>
    </row>
    <row r="8" spans="1:33" x14ac:dyDescent="0.35">
      <c r="A8" s="3" t="s">
        <v>810</v>
      </c>
      <c r="C8" s="3" t="s">
        <v>20</v>
      </c>
      <c r="D8" s="3" t="s">
        <v>818</v>
      </c>
      <c r="E8" s="59" t="s">
        <v>1262</v>
      </c>
      <c r="F8" s="103"/>
      <c r="G8" s="103"/>
      <c r="H8" s="148">
        <f>0.051/2</f>
        <v>2.5499999999999998E-2</v>
      </c>
      <c r="I8" s="149">
        <f>0.024/2</f>
        <v>1.2E-2</v>
      </c>
      <c r="J8" s="103"/>
      <c r="L8" s="3" t="s">
        <v>829</v>
      </c>
      <c r="M8" s="28" t="s">
        <v>830</v>
      </c>
      <c r="N8" s="3" t="s">
        <v>4</v>
      </c>
      <c r="O8" s="3" t="s">
        <v>708</v>
      </c>
      <c r="P8" s="3" t="s">
        <v>1233</v>
      </c>
      <c r="Q8" s="3" t="s">
        <v>1215</v>
      </c>
      <c r="R8" s="3" t="s">
        <v>1234</v>
      </c>
    </row>
    <row r="9" spans="1:33" x14ac:dyDescent="0.35">
      <c r="A9" s="3" t="s">
        <v>810</v>
      </c>
      <c r="C9" s="3" t="s">
        <v>20</v>
      </c>
      <c r="D9" s="3" t="s">
        <v>813</v>
      </c>
      <c r="E9" s="98" t="s">
        <v>1263</v>
      </c>
      <c r="F9" s="103"/>
      <c r="G9" s="103"/>
      <c r="H9" s="106">
        <v>3.5083333333333334E-3</v>
      </c>
      <c r="I9" s="103">
        <v>1.9043262150517529E-3</v>
      </c>
      <c r="J9" s="103"/>
      <c r="L9" s="3" t="s">
        <v>74</v>
      </c>
      <c r="M9" s="28" t="s">
        <v>831</v>
      </c>
      <c r="N9" s="3" t="s">
        <v>4</v>
      </c>
      <c r="O9" s="3" t="s">
        <v>833</v>
      </c>
      <c r="P9" s="3" t="s">
        <v>832</v>
      </c>
      <c r="Q9" s="3" t="s">
        <v>1215</v>
      </c>
      <c r="R9" s="30" t="s">
        <v>834</v>
      </c>
    </row>
    <row r="10" spans="1:33" x14ac:dyDescent="0.35">
      <c r="A10" s="3" t="s">
        <v>810</v>
      </c>
      <c r="C10" s="3" t="s">
        <v>20</v>
      </c>
      <c r="D10" s="3" t="s">
        <v>813</v>
      </c>
      <c r="E10" s="98" t="s">
        <v>1236</v>
      </c>
      <c r="F10" s="103"/>
      <c r="G10" s="103"/>
      <c r="H10" s="148">
        <v>2.1000000000000001E-2</v>
      </c>
      <c r="I10" s="150"/>
      <c r="J10" s="103"/>
      <c r="L10" s="3" t="s">
        <v>814</v>
      </c>
      <c r="M10" s="28" t="s">
        <v>815</v>
      </c>
      <c r="N10" s="3" t="s">
        <v>816</v>
      </c>
      <c r="O10" s="3" t="s">
        <v>816</v>
      </c>
      <c r="Q10" s="3" t="s">
        <v>37</v>
      </c>
      <c r="R10" s="30" t="s">
        <v>835</v>
      </c>
    </row>
    <row r="11" spans="1:33" x14ac:dyDescent="0.35">
      <c r="A11" s="3" t="s">
        <v>810</v>
      </c>
      <c r="C11" s="3" t="s">
        <v>20</v>
      </c>
      <c r="D11" s="3" t="s">
        <v>813</v>
      </c>
      <c r="E11" s="98" t="s">
        <v>1236</v>
      </c>
      <c r="F11" s="103"/>
      <c r="G11" s="103"/>
      <c r="H11" s="148">
        <v>3.0000000000000001E-3</v>
      </c>
      <c r="I11" s="150"/>
      <c r="J11" s="103"/>
      <c r="L11" s="3" t="s">
        <v>814</v>
      </c>
      <c r="M11" s="28" t="s">
        <v>815</v>
      </c>
      <c r="N11" s="3" t="s">
        <v>689</v>
      </c>
      <c r="O11" s="3" t="s">
        <v>1239</v>
      </c>
      <c r="P11" s="3" t="s">
        <v>1225</v>
      </c>
      <c r="Q11" s="3" t="s">
        <v>37</v>
      </c>
      <c r="R11" s="30" t="s">
        <v>835</v>
      </c>
    </row>
    <row r="12" spans="1:33" x14ac:dyDescent="0.35">
      <c r="A12" s="3" t="s">
        <v>810</v>
      </c>
      <c r="C12" s="3" t="s">
        <v>20</v>
      </c>
      <c r="D12" s="3" t="s">
        <v>813</v>
      </c>
      <c r="E12" s="98" t="s">
        <v>1237</v>
      </c>
      <c r="F12" s="103"/>
      <c r="G12" s="103"/>
      <c r="H12" s="148">
        <f>AVERAGE(0.011,0.005)</f>
        <v>8.0000000000000002E-3</v>
      </c>
      <c r="I12" s="150"/>
      <c r="J12" s="103"/>
      <c r="L12" s="3" t="s">
        <v>817</v>
      </c>
      <c r="M12" s="28" t="s">
        <v>815</v>
      </c>
      <c r="N12" s="3" t="s">
        <v>244</v>
      </c>
      <c r="O12" s="3" t="s">
        <v>1224</v>
      </c>
      <c r="Q12" s="3" t="s">
        <v>37</v>
      </c>
      <c r="R12" s="30" t="s">
        <v>835</v>
      </c>
    </row>
    <row r="13" spans="1:33" x14ac:dyDescent="0.35">
      <c r="A13" s="3" t="s">
        <v>810</v>
      </c>
      <c r="C13" s="3" t="s">
        <v>20</v>
      </c>
      <c r="D13" s="3" t="s">
        <v>813</v>
      </c>
      <c r="E13" s="98" t="s">
        <v>1237</v>
      </c>
      <c r="F13" s="103"/>
      <c r="G13" s="103"/>
      <c r="H13" s="148">
        <f>AVERAGE(0.011,0.023)</f>
        <v>1.7000000000000001E-2</v>
      </c>
      <c r="I13" s="150"/>
      <c r="J13" s="103"/>
      <c r="L13" s="3" t="s">
        <v>817</v>
      </c>
      <c r="M13" s="28" t="s">
        <v>815</v>
      </c>
      <c r="N13" s="3" t="s">
        <v>244</v>
      </c>
      <c r="O13" s="3" t="s">
        <v>1223</v>
      </c>
      <c r="Q13" s="3" t="s">
        <v>37</v>
      </c>
      <c r="R13" s="30" t="s">
        <v>835</v>
      </c>
    </row>
    <row r="14" spans="1:33" x14ac:dyDescent="0.35">
      <c r="A14" s="3" t="s">
        <v>810</v>
      </c>
      <c r="C14" s="3" t="s">
        <v>20</v>
      </c>
      <c r="D14" s="3" t="s">
        <v>836</v>
      </c>
      <c r="E14" s="98" t="s">
        <v>1240</v>
      </c>
      <c r="F14" s="103"/>
      <c r="G14" s="103"/>
      <c r="H14" s="106">
        <v>3.875E-2</v>
      </c>
      <c r="I14" s="103">
        <v>1.2824455803918803E-2</v>
      </c>
      <c r="J14" s="103"/>
      <c r="L14" s="3" t="s">
        <v>257</v>
      </c>
      <c r="M14" s="28" t="s">
        <v>815</v>
      </c>
      <c r="N14" s="3" t="s">
        <v>26</v>
      </c>
      <c r="O14" s="3" t="s">
        <v>837</v>
      </c>
      <c r="Q14" s="3" t="s">
        <v>24</v>
      </c>
      <c r="R14" s="3" t="s">
        <v>838</v>
      </c>
    </row>
    <row r="15" spans="1:33" x14ac:dyDescent="0.35">
      <c r="A15" s="3" t="s">
        <v>810</v>
      </c>
      <c r="C15" s="3" t="s">
        <v>20</v>
      </c>
      <c r="D15" s="3" t="s">
        <v>839</v>
      </c>
      <c r="E15" s="100" t="s">
        <v>1241</v>
      </c>
      <c r="F15" s="103"/>
      <c r="G15" s="103"/>
      <c r="H15" s="106">
        <v>0.12443181818181817</v>
      </c>
      <c r="I15" s="103">
        <v>0.10015183041943684</v>
      </c>
      <c r="J15" s="103"/>
      <c r="L15" s="3" t="s">
        <v>257</v>
      </c>
      <c r="M15" s="28" t="s">
        <v>1245</v>
      </c>
      <c r="N15" s="3" t="s">
        <v>4</v>
      </c>
      <c r="O15" s="3" t="s">
        <v>483</v>
      </c>
      <c r="Q15" s="3" t="s">
        <v>1215</v>
      </c>
      <c r="R15" s="3" t="s">
        <v>840</v>
      </c>
    </row>
    <row r="16" spans="1:33" x14ac:dyDescent="0.35">
      <c r="A16" s="3" t="s">
        <v>810</v>
      </c>
      <c r="C16" s="3" t="s">
        <v>20</v>
      </c>
      <c r="D16" s="3" t="s">
        <v>839</v>
      </c>
      <c r="E16" s="100" t="s">
        <v>1241</v>
      </c>
      <c r="F16" s="103"/>
      <c r="G16" s="103"/>
      <c r="H16" s="106">
        <v>0.1049375</v>
      </c>
      <c r="I16" s="103">
        <v>9.4646010637244815E-2</v>
      </c>
      <c r="J16" s="103"/>
      <c r="L16" s="3" t="s">
        <v>1242</v>
      </c>
      <c r="M16" s="28" t="s">
        <v>1244</v>
      </c>
      <c r="N16" s="3" t="s">
        <v>4</v>
      </c>
      <c r="O16" s="3" t="s">
        <v>483</v>
      </c>
      <c r="Q16" s="3" t="s">
        <v>1215</v>
      </c>
      <c r="R16" s="3" t="s">
        <v>840</v>
      </c>
    </row>
    <row r="17" spans="1:33" x14ac:dyDescent="0.35">
      <c r="A17" s="3" t="s">
        <v>810</v>
      </c>
      <c r="C17" s="3" t="s">
        <v>20</v>
      </c>
      <c r="D17" s="3" t="s">
        <v>839</v>
      </c>
      <c r="E17" s="100" t="s">
        <v>1241</v>
      </c>
      <c r="F17" s="103"/>
      <c r="G17" s="103"/>
      <c r="H17" s="106">
        <v>9.4900000000000026E-2</v>
      </c>
      <c r="I17" s="103">
        <v>7.0036435322818016E-2</v>
      </c>
      <c r="J17" s="103"/>
      <c r="L17" s="3" t="s">
        <v>1243</v>
      </c>
      <c r="M17" s="28" t="s">
        <v>1246</v>
      </c>
      <c r="N17" s="3" t="s">
        <v>4</v>
      </c>
      <c r="O17" s="3" t="s">
        <v>483</v>
      </c>
      <c r="Q17" s="3" t="s">
        <v>1215</v>
      </c>
      <c r="R17" s="3" t="s">
        <v>840</v>
      </c>
    </row>
    <row r="18" spans="1:33" x14ac:dyDescent="0.35">
      <c r="A18" s="25" t="s">
        <v>792</v>
      </c>
      <c r="B18" s="25" t="s">
        <v>796</v>
      </c>
      <c r="C18" s="3" t="s">
        <v>20</v>
      </c>
      <c r="D18" s="3" t="s">
        <v>841</v>
      </c>
      <c r="E18" s="100" t="s">
        <v>1253</v>
      </c>
      <c r="F18" s="103">
        <v>2.5</v>
      </c>
      <c r="G18" s="103">
        <v>0.14499999999999999</v>
      </c>
      <c r="H18" s="148">
        <v>0.49260000000000004</v>
      </c>
      <c r="I18" s="149">
        <v>6.4279079022649066E-2</v>
      </c>
      <c r="J18" s="103">
        <v>2.58</v>
      </c>
      <c r="L18" s="3" t="s">
        <v>842</v>
      </c>
      <c r="M18" s="28" t="s">
        <v>843</v>
      </c>
      <c r="N18" s="3" t="s">
        <v>4</v>
      </c>
      <c r="O18" s="3" t="s">
        <v>483</v>
      </c>
      <c r="Q18" s="3" t="s">
        <v>1215</v>
      </c>
      <c r="R18" s="3" t="s">
        <v>844</v>
      </c>
    </row>
    <row r="19" spans="1:33" x14ac:dyDescent="0.35">
      <c r="A19" s="3" t="s">
        <v>1251</v>
      </c>
      <c r="B19" s="3" t="s">
        <v>90</v>
      </c>
      <c r="C19" s="3" t="s">
        <v>20</v>
      </c>
      <c r="D19" s="3" t="s">
        <v>1250</v>
      </c>
      <c r="E19" s="101" t="s">
        <v>1265</v>
      </c>
      <c r="F19" s="103"/>
      <c r="G19" s="103"/>
      <c r="H19" s="106">
        <v>0.34150000000000003</v>
      </c>
      <c r="I19" s="103">
        <v>0.33621867883863904</v>
      </c>
      <c r="J19" s="103"/>
      <c r="M19" s="28" t="s">
        <v>1249</v>
      </c>
      <c r="N19" s="3" t="s">
        <v>4</v>
      </c>
      <c r="O19" s="3" t="s">
        <v>1248</v>
      </c>
      <c r="Q19" s="3" t="s">
        <v>1215</v>
      </c>
      <c r="R19" s="3" t="s">
        <v>1247</v>
      </c>
    </row>
    <row r="20" spans="1:33" x14ac:dyDescent="0.35">
      <c r="A20" s="3" t="s">
        <v>1252</v>
      </c>
      <c r="B20" s="3" t="s">
        <v>90</v>
      </c>
      <c r="C20" s="3" t="s">
        <v>20</v>
      </c>
      <c r="D20" s="3" t="s">
        <v>1250</v>
      </c>
      <c r="E20" s="101" t="s">
        <v>1265</v>
      </c>
      <c r="F20" s="103"/>
      <c r="G20" s="103"/>
      <c r="H20" s="106">
        <v>0.29283333333333333</v>
      </c>
      <c r="I20" s="103">
        <v>0.35008308537640986</v>
      </c>
      <c r="J20" s="103"/>
      <c r="M20" s="28" t="s">
        <v>1249</v>
      </c>
      <c r="N20" s="3" t="s">
        <v>4</v>
      </c>
      <c r="O20" s="3" t="s">
        <v>1248</v>
      </c>
      <c r="Q20" s="3" t="s">
        <v>1215</v>
      </c>
      <c r="R20" s="3" t="s">
        <v>1247</v>
      </c>
    </row>
    <row r="21" spans="1:33" x14ac:dyDescent="0.35">
      <c r="A21" s="3" t="s">
        <v>810</v>
      </c>
      <c r="C21" s="3" t="s">
        <v>20</v>
      </c>
      <c r="D21" s="3" t="s">
        <v>1259</v>
      </c>
      <c r="E21" s="3" t="s">
        <v>1264</v>
      </c>
      <c r="F21" s="103"/>
      <c r="G21" s="103"/>
      <c r="H21" s="106">
        <v>0.14782499999999998</v>
      </c>
      <c r="I21" s="103">
        <v>1.2904698756654485E-2</v>
      </c>
      <c r="J21" s="103"/>
      <c r="L21" s="3" t="s">
        <v>817</v>
      </c>
      <c r="M21" s="26" t="s">
        <v>1258</v>
      </c>
      <c r="N21" s="3" t="s">
        <v>4</v>
      </c>
      <c r="O21" s="3" t="s">
        <v>1256</v>
      </c>
      <c r="P21" s="3" t="s">
        <v>1257</v>
      </c>
      <c r="Q21" s="3" t="s">
        <v>1255</v>
      </c>
      <c r="R21" s="3" t="s">
        <v>1254</v>
      </c>
    </row>
    <row r="22" spans="1:33" x14ac:dyDescent="0.35">
      <c r="A22" s="3" t="s">
        <v>1465</v>
      </c>
      <c r="C22" s="3" t="s">
        <v>20</v>
      </c>
      <c r="D22" s="3" t="s">
        <v>1466</v>
      </c>
      <c r="E22" s="3" t="s">
        <v>1467</v>
      </c>
      <c r="F22" s="103"/>
      <c r="G22" s="103"/>
      <c r="H22" s="106">
        <v>1.6E-2</v>
      </c>
      <c r="I22" s="103">
        <v>2E-3</v>
      </c>
      <c r="J22" s="103"/>
      <c r="L22" s="3" t="s">
        <v>1469</v>
      </c>
      <c r="M22" s="26" t="s">
        <v>1470</v>
      </c>
      <c r="N22" s="3" t="s">
        <v>26</v>
      </c>
      <c r="P22" s="3" t="s">
        <v>1471</v>
      </c>
      <c r="Q22" s="3" t="s">
        <v>24</v>
      </c>
      <c r="R22" s="3" t="s">
        <v>1472</v>
      </c>
    </row>
    <row r="23" spans="1:33" s="1" customFormat="1" x14ac:dyDescent="0.35">
      <c r="A23" s="2" t="s">
        <v>1465</v>
      </c>
      <c r="B23" s="2"/>
      <c r="C23" s="2" t="s">
        <v>20</v>
      </c>
      <c r="D23" s="2" t="s">
        <v>1466</v>
      </c>
      <c r="E23" s="2" t="s">
        <v>1855</v>
      </c>
      <c r="F23" s="106"/>
      <c r="G23" s="106"/>
      <c r="H23" s="106">
        <v>2.6100000000000002E-2</v>
      </c>
      <c r="I23" s="106">
        <v>4.7000000000000002E-3</v>
      </c>
      <c r="J23" s="106"/>
      <c r="K23" s="2"/>
      <c r="L23" s="2" t="s">
        <v>798</v>
      </c>
      <c r="M23" s="39" t="s">
        <v>245</v>
      </c>
      <c r="N23" s="2" t="s">
        <v>1765</v>
      </c>
      <c r="O23" s="2" t="s">
        <v>1856</v>
      </c>
      <c r="P23" s="2"/>
      <c r="Q23" s="2" t="s">
        <v>24</v>
      </c>
      <c r="R23" s="2" t="s">
        <v>1731</v>
      </c>
      <c r="S23" s="2"/>
      <c r="T23" s="2"/>
      <c r="U23" s="2"/>
      <c r="V23" s="2"/>
      <c r="W23" s="2"/>
      <c r="X23" s="2"/>
      <c r="Y23" s="2"/>
      <c r="Z23" s="2"/>
      <c r="AA23" s="2"/>
      <c r="AB23" s="2"/>
      <c r="AC23" s="2"/>
      <c r="AD23" s="2"/>
      <c r="AE23" s="2"/>
      <c r="AF23" s="2"/>
      <c r="AG23" s="2"/>
    </row>
    <row r="24" spans="1:33" s="1" customFormat="1" x14ac:dyDescent="0.35">
      <c r="A24" s="2" t="s">
        <v>1465</v>
      </c>
      <c r="B24" s="2"/>
      <c r="C24" s="2" t="s">
        <v>20</v>
      </c>
      <c r="D24" s="2" t="s">
        <v>1466</v>
      </c>
      <c r="E24" s="2" t="s">
        <v>1730</v>
      </c>
      <c r="F24" s="106"/>
      <c r="G24" s="106"/>
      <c r="H24" s="106">
        <v>5.7000000000000002E-2</v>
      </c>
      <c r="I24" s="106">
        <v>1.0999999999999999E-2</v>
      </c>
      <c r="J24" s="106"/>
      <c r="K24" s="2"/>
      <c r="L24" s="2" t="s">
        <v>798</v>
      </c>
      <c r="M24" s="39" t="s">
        <v>233</v>
      </c>
      <c r="N24" s="2" t="s">
        <v>1765</v>
      </c>
      <c r="O24" s="2" t="s">
        <v>1857</v>
      </c>
      <c r="P24" s="2"/>
      <c r="Q24" s="2" t="s">
        <v>24</v>
      </c>
      <c r="R24" s="2" t="s">
        <v>1731</v>
      </c>
      <c r="S24" s="2"/>
      <c r="T24" s="2"/>
      <c r="U24" s="2"/>
      <c r="V24" s="2"/>
      <c r="W24" s="2"/>
      <c r="X24" s="2"/>
      <c r="Y24" s="2"/>
      <c r="Z24" s="2"/>
      <c r="AA24" s="2"/>
      <c r="AB24" s="2"/>
      <c r="AC24" s="2"/>
      <c r="AD24" s="2"/>
      <c r="AE24" s="2"/>
      <c r="AF24" s="2"/>
      <c r="AG24" s="2"/>
    </row>
    <row r="25" spans="1:33" s="1" customFormat="1" x14ac:dyDescent="0.35">
      <c r="A25" s="2" t="s">
        <v>1465</v>
      </c>
      <c r="B25" s="2"/>
      <c r="C25" s="2" t="s">
        <v>20</v>
      </c>
      <c r="D25" s="2" t="s">
        <v>836</v>
      </c>
      <c r="E25" s="2" t="s">
        <v>1870</v>
      </c>
      <c r="F25" s="106"/>
      <c r="G25" s="106"/>
      <c r="H25" s="106">
        <v>5.8220000000000008E-2</v>
      </c>
      <c r="I25" s="106">
        <v>3.9110691916945453E-2</v>
      </c>
      <c r="J25" s="106"/>
      <c r="K25" s="2"/>
      <c r="L25" s="2"/>
      <c r="M25" s="39"/>
      <c r="N25" s="2" t="s">
        <v>4</v>
      </c>
      <c r="O25" s="2" t="s">
        <v>1867</v>
      </c>
      <c r="P25" s="2" t="s">
        <v>1869</v>
      </c>
      <c r="Q25" s="2" t="s">
        <v>1215</v>
      </c>
      <c r="R25" s="2" t="s">
        <v>1865</v>
      </c>
      <c r="S25" s="2"/>
      <c r="T25" s="2"/>
      <c r="U25" s="2"/>
      <c r="V25" s="2"/>
      <c r="W25" s="2"/>
      <c r="X25" s="2"/>
      <c r="Y25" s="2"/>
      <c r="Z25" s="2"/>
      <c r="AA25" s="2"/>
      <c r="AB25" s="2"/>
      <c r="AC25" s="2"/>
      <c r="AD25" s="2"/>
      <c r="AE25" s="2"/>
      <c r="AF25" s="2"/>
      <c r="AG25" s="2"/>
    </row>
    <row r="26" spans="1:33" s="1" customFormat="1" x14ac:dyDescent="0.35">
      <c r="A26" s="2" t="s">
        <v>1465</v>
      </c>
      <c r="B26" s="2"/>
      <c r="C26" s="2" t="s">
        <v>20</v>
      </c>
      <c r="D26" s="2" t="s">
        <v>836</v>
      </c>
      <c r="E26" s="2" t="s">
        <v>1870</v>
      </c>
      <c r="F26" s="106"/>
      <c r="G26" s="106"/>
      <c r="H26" s="106">
        <v>8.9625E-3</v>
      </c>
      <c r="I26" s="106">
        <v>4.1351930340156346E-3</v>
      </c>
      <c r="J26" s="106"/>
      <c r="K26" s="2"/>
      <c r="L26" s="2"/>
      <c r="M26" s="39"/>
      <c r="N26" s="2" t="s">
        <v>4</v>
      </c>
      <c r="O26" s="2" t="s">
        <v>1868</v>
      </c>
      <c r="P26" s="2" t="s">
        <v>1869</v>
      </c>
      <c r="Q26" s="2" t="s">
        <v>1215</v>
      </c>
      <c r="R26" s="2" t="s">
        <v>1865</v>
      </c>
      <c r="S26" s="2"/>
      <c r="T26" s="2"/>
      <c r="U26" s="2"/>
      <c r="V26" s="2"/>
      <c r="W26" s="2"/>
      <c r="X26" s="2"/>
      <c r="Y26" s="2"/>
      <c r="Z26" s="2"/>
      <c r="AA26" s="2"/>
      <c r="AB26" s="2"/>
      <c r="AC26" s="2"/>
      <c r="AD26" s="2"/>
      <c r="AE26" s="2"/>
      <c r="AF26" s="2"/>
      <c r="AG26" s="2"/>
    </row>
    <row r="27" spans="1:33" s="1" customFormat="1" x14ac:dyDescent="0.35">
      <c r="A27" s="2" t="s">
        <v>1465</v>
      </c>
      <c r="B27" s="2"/>
      <c r="C27" s="2" t="s">
        <v>20</v>
      </c>
      <c r="D27" s="2" t="s">
        <v>1466</v>
      </c>
      <c r="E27" s="2" t="s">
        <v>1872</v>
      </c>
      <c r="F27" s="106"/>
      <c r="G27" s="106"/>
      <c r="H27" s="106">
        <v>3.9E-2</v>
      </c>
      <c r="I27" s="106">
        <v>2E-3</v>
      </c>
      <c r="J27" s="106"/>
      <c r="K27" s="2"/>
      <c r="L27" s="2" t="s">
        <v>1873</v>
      </c>
      <c r="M27" s="39"/>
      <c r="N27" s="2" t="s">
        <v>4</v>
      </c>
      <c r="O27" s="2" t="s">
        <v>1874</v>
      </c>
      <c r="P27" s="2" t="s">
        <v>1858</v>
      </c>
      <c r="Q27" s="2" t="s">
        <v>1866</v>
      </c>
      <c r="R27" s="2" t="s">
        <v>1871</v>
      </c>
      <c r="S27" s="2"/>
      <c r="T27" s="2"/>
      <c r="U27" s="2"/>
      <c r="V27" s="2"/>
      <c r="W27" s="2"/>
      <c r="X27" s="2"/>
      <c r="Y27" s="2"/>
      <c r="Z27" s="2"/>
      <c r="AA27" s="2"/>
      <c r="AB27" s="2"/>
      <c r="AC27" s="2"/>
      <c r="AD27" s="2"/>
      <c r="AE27" s="2"/>
      <c r="AF27" s="2"/>
      <c r="AG27" s="2"/>
    </row>
    <row r="28" spans="1:33" s="1" customFormat="1" x14ac:dyDescent="0.35">
      <c r="A28" s="2" t="s">
        <v>1465</v>
      </c>
      <c r="B28" s="2"/>
      <c r="C28" s="2" t="s">
        <v>20</v>
      </c>
      <c r="D28" s="2" t="s">
        <v>1466</v>
      </c>
      <c r="E28" s="303" t="s">
        <v>1862</v>
      </c>
      <c r="F28" s="106"/>
      <c r="G28" s="106" t="s">
        <v>1863</v>
      </c>
      <c r="H28" s="106">
        <v>8.9999999999999993E-3</v>
      </c>
      <c r="I28" s="106">
        <v>1.4E-3</v>
      </c>
      <c r="J28" s="106"/>
      <c r="K28" s="2"/>
      <c r="L28" s="2" t="s">
        <v>1860</v>
      </c>
      <c r="M28" s="39" t="s">
        <v>1861</v>
      </c>
      <c r="N28" s="2" t="s">
        <v>502</v>
      </c>
      <c r="O28" s="2" t="s">
        <v>502</v>
      </c>
      <c r="P28" s="2" t="s">
        <v>1858</v>
      </c>
      <c r="Q28" s="2" t="s">
        <v>13</v>
      </c>
      <c r="R28" s="2" t="s">
        <v>1859</v>
      </c>
      <c r="S28" s="2"/>
      <c r="T28" s="2"/>
      <c r="U28" s="2"/>
      <c r="V28" s="2"/>
      <c r="W28" s="2"/>
      <c r="X28" s="2"/>
      <c r="Y28" s="2"/>
      <c r="Z28" s="2"/>
      <c r="AA28" s="2"/>
      <c r="AB28" s="2"/>
      <c r="AC28" s="2"/>
      <c r="AD28" s="2"/>
      <c r="AE28" s="2"/>
      <c r="AF28" s="2"/>
      <c r="AG28" s="2"/>
    </row>
    <row r="29" spans="1:33" s="1" customFormat="1" x14ac:dyDescent="0.35">
      <c r="A29" s="2" t="s">
        <v>1465</v>
      </c>
      <c r="B29" s="2"/>
      <c r="C29" s="2" t="s">
        <v>20</v>
      </c>
      <c r="D29" s="2" t="s">
        <v>1466</v>
      </c>
      <c r="E29" s="303" t="s">
        <v>1862</v>
      </c>
      <c r="F29" s="106"/>
      <c r="G29" s="106" t="s">
        <v>1864</v>
      </c>
      <c r="H29" s="106">
        <v>5.1999999999999998E-2</v>
      </c>
      <c r="I29" s="106">
        <v>6.0000000000000001E-3</v>
      </c>
      <c r="J29" s="106"/>
      <c r="K29" s="2"/>
      <c r="L29" s="2" t="s">
        <v>1860</v>
      </c>
      <c r="M29" s="39" t="s">
        <v>1861</v>
      </c>
      <c r="N29" s="2" t="s">
        <v>502</v>
      </c>
      <c r="O29" s="2" t="s">
        <v>502</v>
      </c>
      <c r="P29" s="2" t="s">
        <v>1858</v>
      </c>
      <c r="Q29" s="2" t="s">
        <v>13</v>
      </c>
      <c r="R29" s="2" t="s">
        <v>1859</v>
      </c>
      <c r="S29" s="2"/>
      <c r="T29" s="2"/>
      <c r="U29" s="2"/>
      <c r="V29" s="2"/>
      <c r="W29" s="2"/>
      <c r="X29" s="2"/>
      <c r="Y29" s="2"/>
      <c r="Z29" s="2"/>
      <c r="AA29" s="2"/>
      <c r="AB29" s="2"/>
      <c r="AC29" s="2"/>
      <c r="AD29" s="2"/>
      <c r="AE29" s="2"/>
      <c r="AF29" s="2"/>
      <c r="AG29" s="2"/>
    </row>
    <row r="30" spans="1:33" x14ac:dyDescent="0.35">
      <c r="F30" s="53"/>
      <c r="G30" s="53"/>
      <c r="H30" s="5"/>
      <c r="M30" s="26"/>
    </row>
    <row r="31" spans="1:33" x14ac:dyDescent="0.35">
      <c r="F31" s="53"/>
      <c r="G31" s="119"/>
      <c r="H31" s="116" t="s">
        <v>1461</v>
      </c>
      <c r="I31" s="116" t="s">
        <v>1024</v>
      </c>
      <c r="J31" s="116" t="s">
        <v>780</v>
      </c>
      <c r="K31" s="117" t="s">
        <v>1839</v>
      </c>
    </row>
    <row r="32" spans="1:33" ht="56.25" customHeight="1" x14ac:dyDescent="0.35">
      <c r="E32" s="102" t="s">
        <v>1468</v>
      </c>
      <c r="F32" s="53"/>
      <c r="G32" s="122" t="s">
        <v>1463</v>
      </c>
      <c r="H32" s="114">
        <f>H34</f>
        <v>3.9577149122807027E-2</v>
      </c>
      <c r="I32" s="284">
        <f>I34</f>
        <v>3.7213247262568638E-2</v>
      </c>
      <c r="J32" s="120">
        <f>J34</f>
        <v>18</v>
      </c>
      <c r="K32" s="114">
        <f>K34</f>
        <v>1.7191643133031557E-2</v>
      </c>
    </row>
    <row r="33" spans="1:18" x14ac:dyDescent="0.35">
      <c r="F33" s="53"/>
      <c r="G33" s="115" t="s">
        <v>1473</v>
      </c>
      <c r="H33" s="109">
        <f>AVERAGE(H2:H29)</f>
        <v>8.5252235245545163E-2</v>
      </c>
      <c r="I33" s="109">
        <f>STDEV(H2:H24)</f>
        <v>0.12252568491138401</v>
      </c>
      <c r="J33" s="121">
        <f>COUNT(H2:H24)</f>
        <v>23</v>
      </c>
      <c r="K33" s="116">
        <f>I33/SQRT(J33)*1.96</f>
        <v>5.0074807936628447E-2</v>
      </c>
    </row>
    <row r="34" spans="1:18" x14ac:dyDescent="0.35">
      <c r="G34" s="115" t="s">
        <v>1268</v>
      </c>
      <c r="H34" s="109">
        <f>AVERAGE(H3:H6,H7,H8,H9,H10:H13,H14,H21,H22,H23,H24,H25,H26,H27)</f>
        <v>3.9577149122807027E-2</v>
      </c>
      <c r="I34" s="109">
        <f>STDEV(H3:H6,H7,H8,H9,H10:H13,H14,H21,H23,H24,H25,H26,H27)</f>
        <v>3.7213247262568638E-2</v>
      </c>
      <c r="J34" s="121">
        <f>COUNT(H3:H6,H7,H8,H9,H10:H13,H14,H21,H23,H24,H25,H26,H27)</f>
        <v>18</v>
      </c>
      <c r="K34" s="116">
        <f>I34/SQRT(J34)*1.96</f>
        <v>1.7191643133031557E-2</v>
      </c>
    </row>
    <row r="35" spans="1:18" x14ac:dyDescent="0.35">
      <c r="F35" s="53"/>
      <c r="G35" s="115" t="s">
        <v>1371</v>
      </c>
      <c r="H35" s="109">
        <f>AVERAGE(H7,H21,H23,H24,H14,H22)</f>
        <v>5.5129166666666674E-2</v>
      </c>
      <c r="I35" s="109">
        <f>STDEV(H7,H14,H21,H22,H23,H24)</f>
        <v>4.762071612404277E-2</v>
      </c>
      <c r="J35" s="121">
        <f>COUNT(H7,H14,H21,H22,H23,H24)</f>
        <v>6</v>
      </c>
      <c r="K35" s="116">
        <f t="shared" ref="K35:K37" si="0">I35/SQRT(J35)*1.96</f>
        <v>3.8104508858678547E-2</v>
      </c>
    </row>
    <row r="36" spans="1:18" x14ac:dyDescent="0.35">
      <c r="F36" s="53"/>
      <c r="G36" s="115" t="s">
        <v>1460</v>
      </c>
      <c r="H36" s="109">
        <f>AVERAGE(H8:H9,H15:H20,H25:H26)</f>
        <v>0.15473934848484849</v>
      </c>
      <c r="I36" s="109">
        <f>STDEV(H8:H9,H15:H20,H25:H26)</f>
        <v>0.16506541831355773</v>
      </c>
      <c r="J36" s="121">
        <f>COUNT(H8:H9,H15:H20,H25:H26)</f>
        <v>10</v>
      </c>
      <c r="K36" s="116">
        <f t="shared" si="0"/>
        <v>0.10230860622066516</v>
      </c>
    </row>
    <row r="37" spans="1:18" x14ac:dyDescent="0.35">
      <c r="F37" s="53"/>
      <c r="G37" s="115" t="s">
        <v>37</v>
      </c>
      <c r="H37" s="109">
        <f>AVERAGE(H3:H6,H10:H13)</f>
        <v>3.5750000000000004E-2</v>
      </c>
      <c r="I37" s="109">
        <f>STDEV(H3:H6,H10:H13)</f>
        <v>3.4718253741470688E-2</v>
      </c>
      <c r="J37" s="121">
        <f>COUNT(H3:H6,H10:H13)</f>
        <v>8</v>
      </c>
      <c r="K37" s="116">
        <f t="shared" si="0"/>
        <v>2.4058522398518165E-2</v>
      </c>
    </row>
    <row r="38" spans="1:18" x14ac:dyDescent="0.35">
      <c r="F38" s="53"/>
      <c r="G38" s="88"/>
      <c r="H38" s="5"/>
      <c r="I38" s="5"/>
      <c r="J38" s="96"/>
    </row>
    <row r="39" spans="1:18" x14ac:dyDescent="0.35">
      <c r="A39" s="24" t="s">
        <v>1219</v>
      </c>
      <c r="F39" s="53"/>
      <c r="G39" s="53"/>
    </row>
    <row r="40" spans="1:18" x14ac:dyDescent="0.35">
      <c r="A40" s="25" t="s">
        <v>792</v>
      </c>
      <c r="B40" s="25" t="s">
        <v>645</v>
      </c>
      <c r="C40" s="3" t="s">
        <v>359</v>
      </c>
      <c r="D40" s="3" t="s">
        <v>793</v>
      </c>
      <c r="E40" s="2" t="s">
        <v>795</v>
      </c>
      <c r="F40" s="53"/>
      <c r="G40" s="53">
        <v>2.0499999999999998</v>
      </c>
      <c r="L40" s="3" t="s">
        <v>68</v>
      </c>
      <c r="M40" s="26">
        <v>2</v>
      </c>
      <c r="N40" s="3" t="s">
        <v>399</v>
      </c>
      <c r="O40" s="3" t="s">
        <v>794</v>
      </c>
      <c r="Q40" s="3" t="s">
        <v>37</v>
      </c>
      <c r="R40" s="2" t="s">
        <v>1267</v>
      </c>
    </row>
    <row r="41" spans="1:18" x14ac:dyDescent="0.35">
      <c r="A41" s="25" t="s">
        <v>792</v>
      </c>
      <c r="B41" s="25" t="s">
        <v>796</v>
      </c>
      <c r="C41" s="3" t="s">
        <v>20</v>
      </c>
      <c r="D41" s="3" t="s">
        <v>797</v>
      </c>
      <c r="E41" s="2" t="s">
        <v>802</v>
      </c>
      <c r="F41" s="53">
        <v>0.96</v>
      </c>
      <c r="G41" s="53">
        <v>0.14000000000000001</v>
      </c>
      <c r="L41" s="3" t="s">
        <v>798</v>
      </c>
      <c r="M41" s="26" t="s">
        <v>799</v>
      </c>
      <c r="N41" s="3" t="s">
        <v>198</v>
      </c>
      <c r="O41" s="3" t="s">
        <v>800</v>
      </c>
      <c r="Q41" s="3" t="s">
        <v>85</v>
      </c>
      <c r="R41" s="2" t="s">
        <v>801</v>
      </c>
    </row>
    <row r="42" spans="1:18" x14ac:dyDescent="0.35">
      <c r="A42" s="25" t="s">
        <v>803</v>
      </c>
      <c r="B42" s="25" t="s">
        <v>804</v>
      </c>
      <c r="C42" s="3" t="s">
        <v>20</v>
      </c>
      <c r="D42" s="3" t="s">
        <v>797</v>
      </c>
      <c r="E42" s="2" t="s">
        <v>802</v>
      </c>
      <c r="F42" s="53">
        <v>1.08</v>
      </c>
      <c r="G42" s="53">
        <v>0.05</v>
      </c>
      <c r="L42" s="3" t="s">
        <v>798</v>
      </c>
      <c r="M42" s="26" t="s">
        <v>799</v>
      </c>
      <c r="N42" s="3" t="s">
        <v>198</v>
      </c>
      <c r="O42" s="3" t="s">
        <v>800</v>
      </c>
      <c r="Q42" s="3" t="s">
        <v>85</v>
      </c>
      <c r="R42" s="2" t="s">
        <v>801</v>
      </c>
    </row>
    <row r="43" spans="1:18" x14ac:dyDescent="0.35">
      <c r="A43" s="25" t="s">
        <v>805</v>
      </c>
      <c r="B43" s="25" t="s">
        <v>806</v>
      </c>
      <c r="C43" s="3" t="s">
        <v>20</v>
      </c>
      <c r="D43" s="3" t="s">
        <v>797</v>
      </c>
      <c r="E43" s="2" t="s">
        <v>802</v>
      </c>
      <c r="F43" s="53">
        <v>0.84</v>
      </c>
      <c r="G43" s="53"/>
      <c r="L43" s="3" t="s">
        <v>798</v>
      </c>
      <c r="M43" s="26" t="s">
        <v>799</v>
      </c>
      <c r="N43" s="3" t="s">
        <v>198</v>
      </c>
      <c r="O43" s="3" t="s">
        <v>800</v>
      </c>
      <c r="Q43" s="3" t="s">
        <v>85</v>
      </c>
      <c r="R43" s="2" t="s">
        <v>801</v>
      </c>
    </row>
    <row r="44" spans="1:18" x14ac:dyDescent="0.35">
      <c r="A44" s="25" t="s">
        <v>792</v>
      </c>
      <c r="B44" s="25" t="s">
        <v>807</v>
      </c>
      <c r="C44" s="3" t="s">
        <v>20</v>
      </c>
      <c r="D44" s="3" t="s">
        <v>797</v>
      </c>
      <c r="E44" s="2" t="s">
        <v>802</v>
      </c>
      <c r="F44" s="53">
        <v>1.32</v>
      </c>
      <c r="G44" s="53"/>
      <c r="L44" s="3" t="s">
        <v>798</v>
      </c>
      <c r="M44" s="26" t="s">
        <v>799</v>
      </c>
      <c r="N44" s="3" t="s">
        <v>198</v>
      </c>
      <c r="O44" s="3" t="s">
        <v>800</v>
      </c>
      <c r="Q44" s="3" t="s">
        <v>85</v>
      </c>
      <c r="R44" s="2" t="s">
        <v>801</v>
      </c>
    </row>
    <row r="45" spans="1:18" x14ac:dyDescent="0.35">
      <c r="A45" s="25" t="s">
        <v>808</v>
      </c>
      <c r="B45" s="25" t="s">
        <v>809</v>
      </c>
      <c r="C45" s="3" t="s">
        <v>20</v>
      </c>
      <c r="D45" s="3" t="s">
        <v>797</v>
      </c>
      <c r="E45" s="2" t="s">
        <v>802</v>
      </c>
      <c r="F45" s="53">
        <v>0.84</v>
      </c>
      <c r="G45" s="53">
        <v>0.12</v>
      </c>
      <c r="L45" s="3" t="s">
        <v>798</v>
      </c>
      <c r="M45" s="26" t="s">
        <v>799</v>
      </c>
      <c r="N45" s="3" t="s">
        <v>198</v>
      </c>
      <c r="O45" s="3" t="s">
        <v>800</v>
      </c>
      <c r="Q45" s="3" t="s">
        <v>85</v>
      </c>
      <c r="R45" s="2" t="s">
        <v>801</v>
      </c>
    </row>
    <row r="46" spans="1:18" x14ac:dyDescent="0.35">
      <c r="A46" s="25" t="s">
        <v>805</v>
      </c>
      <c r="B46" s="25" t="s">
        <v>807</v>
      </c>
      <c r="C46" s="3" t="s">
        <v>20</v>
      </c>
      <c r="D46" s="3" t="s">
        <v>797</v>
      </c>
      <c r="E46" s="2" t="s">
        <v>802</v>
      </c>
      <c r="F46" s="53"/>
      <c r="G46" s="53">
        <v>0.02</v>
      </c>
      <c r="L46" s="3" t="s">
        <v>798</v>
      </c>
      <c r="M46" s="26" t="s">
        <v>799</v>
      </c>
      <c r="N46" s="3" t="s">
        <v>198</v>
      </c>
      <c r="O46" s="3" t="s">
        <v>800</v>
      </c>
      <c r="Q46" s="3" t="s">
        <v>85</v>
      </c>
      <c r="R46" s="2" t="s">
        <v>801</v>
      </c>
    </row>
    <row r="47" spans="1:18" x14ac:dyDescent="0.35">
      <c r="A47" s="25" t="s">
        <v>810</v>
      </c>
      <c r="B47" s="25"/>
      <c r="C47" s="3" t="s">
        <v>20</v>
      </c>
      <c r="D47" s="3" t="s">
        <v>797</v>
      </c>
      <c r="E47" s="2" t="s">
        <v>812</v>
      </c>
      <c r="F47" s="53"/>
      <c r="G47" s="53" t="s">
        <v>811</v>
      </c>
      <c r="L47" s="3" t="s">
        <v>798</v>
      </c>
      <c r="M47" s="26" t="s">
        <v>799</v>
      </c>
      <c r="N47" s="3" t="s">
        <v>198</v>
      </c>
      <c r="O47" s="3" t="s">
        <v>800</v>
      </c>
      <c r="Q47" s="3" t="s">
        <v>85</v>
      </c>
      <c r="R47" s="2" t="s">
        <v>801</v>
      </c>
    </row>
    <row r="48" spans="1:18" x14ac:dyDescent="0.35">
      <c r="A48" s="3" t="s">
        <v>810</v>
      </c>
      <c r="C48" s="3" t="s">
        <v>20</v>
      </c>
      <c r="D48" s="3" t="s">
        <v>818</v>
      </c>
      <c r="E48" s="56" t="s">
        <v>1230</v>
      </c>
      <c r="F48" s="53">
        <f>0.1*12</f>
        <v>1.2000000000000002</v>
      </c>
      <c r="G48" s="53">
        <v>8.2500000000000004E-2</v>
      </c>
      <c r="L48" s="3" t="s">
        <v>819</v>
      </c>
      <c r="M48" s="28" t="s">
        <v>820</v>
      </c>
      <c r="N48" s="3" t="s">
        <v>823</v>
      </c>
      <c r="O48" s="3" t="s">
        <v>822</v>
      </c>
      <c r="P48" s="3" t="s">
        <v>821</v>
      </c>
      <c r="Q48" s="3" t="s">
        <v>92</v>
      </c>
      <c r="R48" s="29" t="s">
        <v>824</v>
      </c>
    </row>
    <row r="49" spans="1:18" x14ac:dyDescent="0.35">
      <c r="A49" s="3" t="s">
        <v>810</v>
      </c>
      <c r="C49" s="3" t="s">
        <v>20</v>
      </c>
      <c r="D49" s="3" t="s">
        <v>818</v>
      </c>
      <c r="E49" s="56" t="s">
        <v>1230</v>
      </c>
      <c r="F49" s="53">
        <f>0.02*12</f>
        <v>0.24</v>
      </c>
      <c r="G49" s="53">
        <v>8.2500000000000004E-2</v>
      </c>
      <c r="L49" s="3" t="s">
        <v>819</v>
      </c>
      <c r="M49" s="28" t="s">
        <v>820</v>
      </c>
      <c r="N49" s="3" t="s">
        <v>823</v>
      </c>
      <c r="O49" s="3" t="s">
        <v>826</v>
      </c>
      <c r="P49" s="3" t="s">
        <v>825</v>
      </c>
      <c r="Q49" s="3" t="s">
        <v>92</v>
      </c>
      <c r="R49" s="29" t="s">
        <v>824</v>
      </c>
    </row>
    <row r="65" spans="11:11" x14ac:dyDescent="0.35">
      <c r="K65"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B32"/>
  <sheetViews>
    <sheetView topLeftCell="A13" zoomScale="80" zoomScaleNormal="80" workbookViewId="0">
      <selection activeCell="F26" sqref="F26"/>
    </sheetView>
  </sheetViews>
  <sheetFormatPr defaultColWidth="9.08984375" defaultRowHeight="14" x14ac:dyDescent="0.3"/>
  <cols>
    <col min="1" max="1" width="4.54296875" style="3" customWidth="1"/>
    <col min="2" max="2" width="35" style="3" bestFit="1" customWidth="1"/>
    <col min="3" max="3" width="17.36328125" style="3" bestFit="1" customWidth="1"/>
    <col min="4" max="4" width="75" style="3" bestFit="1" customWidth="1"/>
    <col min="5" max="5" width="16.54296875" style="3" customWidth="1"/>
    <col min="6" max="6" width="15" style="3" customWidth="1"/>
    <col min="7" max="7" width="10" style="3" customWidth="1"/>
    <col min="8" max="8" width="13.6328125" style="3" bestFit="1" customWidth="1"/>
    <col min="9" max="9" width="2.08984375" style="3" customWidth="1"/>
    <col min="10" max="10" width="16.453125" style="3" customWidth="1"/>
    <col min="11" max="11" width="13.6328125" style="3" customWidth="1"/>
    <col min="12" max="13" width="9.08984375" style="3"/>
    <col min="14" max="14" width="2.36328125" style="3" customWidth="1"/>
    <col min="15" max="15" width="15.36328125" style="3" customWidth="1"/>
    <col min="16" max="16" width="14.36328125" style="3" customWidth="1"/>
    <col min="17" max="18" width="9.08984375" style="3"/>
    <col min="19" max="19" width="2.36328125" style="3" customWidth="1"/>
    <col min="20" max="20" width="17.54296875" style="3" customWidth="1"/>
    <col min="21" max="21" width="9.08984375" style="3"/>
    <col min="22" max="22" width="38.36328125" style="3" bestFit="1" customWidth="1"/>
    <col min="23" max="23" width="10" style="3" customWidth="1"/>
    <col min="24" max="24" width="23.90625" style="3" customWidth="1"/>
    <col min="25" max="25" width="40.90625" style="3" customWidth="1"/>
    <col min="26" max="26" width="48.6328125" style="3" customWidth="1"/>
    <col min="27" max="27" width="22.08984375" style="3" bestFit="1" customWidth="1"/>
    <col min="28" max="28" width="12.6328125" style="3" customWidth="1"/>
    <col min="29" max="16384" width="9.08984375" style="3"/>
  </cols>
  <sheetData>
    <row r="1" spans="1:28" s="160" customFormat="1" ht="42.75" customHeight="1" thickBot="1" x14ac:dyDescent="0.35">
      <c r="A1" s="151" t="s">
        <v>1269</v>
      </c>
      <c r="B1" s="151" t="s">
        <v>787</v>
      </c>
      <c r="C1" s="152" t="s">
        <v>1270</v>
      </c>
      <c r="D1" s="151" t="s">
        <v>770</v>
      </c>
      <c r="E1" s="153" t="s">
        <v>1271</v>
      </c>
      <c r="F1" s="154" t="s">
        <v>1272</v>
      </c>
      <c r="G1" s="154" t="s">
        <v>1273</v>
      </c>
      <c r="H1" s="155" t="s">
        <v>780</v>
      </c>
      <c r="I1" s="156"/>
      <c r="J1" s="153" t="s">
        <v>1274</v>
      </c>
      <c r="K1" s="154" t="s">
        <v>1275</v>
      </c>
      <c r="L1" s="154" t="s">
        <v>1273</v>
      </c>
      <c r="M1" s="155" t="s">
        <v>780</v>
      </c>
      <c r="N1" s="156"/>
      <c r="O1" s="153" t="s">
        <v>1276</v>
      </c>
      <c r="P1" s="154" t="s">
        <v>1277</v>
      </c>
      <c r="Q1" s="154" t="s">
        <v>1273</v>
      </c>
      <c r="R1" s="155" t="s">
        <v>780</v>
      </c>
      <c r="S1" s="156"/>
      <c r="T1" s="157" t="s">
        <v>1278</v>
      </c>
      <c r="U1" s="157" t="s">
        <v>1279</v>
      </c>
      <c r="V1" s="151" t="s">
        <v>777</v>
      </c>
      <c r="W1" s="158" t="s">
        <v>776</v>
      </c>
      <c r="X1" s="151" t="s">
        <v>775</v>
      </c>
      <c r="Y1" s="151" t="s">
        <v>774</v>
      </c>
      <c r="Z1" s="159" t="s">
        <v>773</v>
      </c>
      <c r="AA1" s="151" t="s">
        <v>772</v>
      </c>
      <c r="AB1" s="151" t="s">
        <v>771</v>
      </c>
    </row>
    <row r="2" spans="1:28" x14ac:dyDescent="0.3">
      <c r="A2" s="60">
        <v>1</v>
      </c>
      <c r="B2" s="61" t="s">
        <v>1280</v>
      </c>
      <c r="C2" s="62" t="s">
        <v>1281</v>
      </c>
      <c r="D2" s="62"/>
      <c r="E2" s="125" t="s">
        <v>1282</v>
      </c>
      <c r="F2" s="126">
        <v>0.151</v>
      </c>
      <c r="G2" s="86">
        <v>3.4000000000000002E-2</v>
      </c>
      <c r="H2" s="107" t="s">
        <v>1283</v>
      </c>
      <c r="I2" s="64"/>
      <c r="J2" s="87"/>
      <c r="K2" s="86"/>
      <c r="L2" s="86"/>
      <c r="M2" s="107"/>
      <c r="N2" s="64"/>
      <c r="O2" s="87" t="s">
        <v>1284</v>
      </c>
      <c r="P2" s="86">
        <v>0.72</v>
      </c>
      <c r="Q2" s="86">
        <v>0.28399999999999997</v>
      </c>
      <c r="R2" s="107"/>
      <c r="S2" s="64"/>
      <c r="T2" s="126"/>
      <c r="U2" s="126"/>
      <c r="V2" s="61"/>
      <c r="W2" s="65" t="s">
        <v>831</v>
      </c>
      <c r="X2" s="61" t="s">
        <v>4</v>
      </c>
      <c r="Y2" s="61" t="s">
        <v>1285</v>
      </c>
      <c r="Z2" s="61" t="s">
        <v>1286</v>
      </c>
      <c r="AA2" s="62" t="s">
        <v>1215</v>
      </c>
      <c r="AB2" s="61" t="s">
        <v>1287</v>
      </c>
    </row>
    <row r="3" spans="1:28" x14ac:dyDescent="0.3">
      <c r="A3" s="60">
        <v>2</v>
      </c>
      <c r="B3" s="61" t="s">
        <v>1288</v>
      </c>
      <c r="C3" s="62" t="s">
        <v>1289</v>
      </c>
      <c r="D3" s="62"/>
      <c r="E3" s="125"/>
      <c r="F3" s="126">
        <v>0.09</v>
      </c>
      <c r="G3" s="86"/>
      <c r="H3" s="107"/>
      <c r="I3" s="64"/>
      <c r="J3" s="87"/>
      <c r="K3" s="86">
        <v>0.2</v>
      </c>
      <c r="L3" s="86"/>
      <c r="M3" s="107"/>
      <c r="N3" s="64"/>
      <c r="O3" s="147"/>
      <c r="P3" s="86">
        <v>2.33</v>
      </c>
      <c r="Q3" s="86"/>
      <c r="R3" s="107"/>
      <c r="S3" s="64"/>
      <c r="T3" s="126">
        <v>2.62</v>
      </c>
      <c r="U3" s="126"/>
      <c r="V3" s="61" t="s">
        <v>1290</v>
      </c>
      <c r="W3" s="65" t="s">
        <v>1291</v>
      </c>
      <c r="X3" s="62" t="s">
        <v>244</v>
      </c>
      <c r="Y3" s="61" t="s">
        <v>1292</v>
      </c>
      <c r="Z3" s="61"/>
      <c r="AA3" s="62" t="s">
        <v>37</v>
      </c>
      <c r="AB3" s="61" t="s">
        <v>1293</v>
      </c>
    </row>
    <row r="4" spans="1:28" x14ac:dyDescent="0.3">
      <c r="A4" s="60">
        <v>3</v>
      </c>
      <c r="B4" s="61" t="s">
        <v>1294</v>
      </c>
      <c r="C4" s="62" t="s">
        <v>1295</v>
      </c>
      <c r="D4" s="62" t="s">
        <v>1296</v>
      </c>
      <c r="E4" s="125"/>
      <c r="F4" s="126">
        <v>0.22852083333333331</v>
      </c>
      <c r="G4" s="86">
        <v>2.4006125985286123E-2</v>
      </c>
      <c r="H4" s="107" t="s">
        <v>1297</v>
      </c>
      <c r="I4" s="64"/>
      <c r="J4" s="87"/>
      <c r="K4" s="86"/>
      <c r="L4" s="86"/>
      <c r="M4" s="107"/>
      <c r="N4" s="64"/>
      <c r="O4" s="87"/>
      <c r="P4" s="86"/>
      <c r="Q4" s="86"/>
      <c r="R4" s="107"/>
      <c r="S4" s="64"/>
      <c r="T4" s="126"/>
      <c r="U4" s="126"/>
      <c r="V4" s="61" t="s">
        <v>1298</v>
      </c>
      <c r="W4" s="65" t="s">
        <v>1299</v>
      </c>
      <c r="X4" s="62" t="s">
        <v>823</v>
      </c>
      <c r="Y4" s="61" t="s">
        <v>1300</v>
      </c>
      <c r="Z4" s="61"/>
      <c r="AA4" s="61" t="s">
        <v>92</v>
      </c>
      <c r="AB4" s="66" t="s">
        <v>1404</v>
      </c>
    </row>
    <row r="5" spans="1:28" x14ac:dyDescent="0.3">
      <c r="A5" s="67" t="s">
        <v>1301</v>
      </c>
      <c r="B5" s="68" t="s">
        <v>1294</v>
      </c>
      <c r="C5" s="69" t="s">
        <v>1295</v>
      </c>
      <c r="D5" s="69" t="s">
        <v>1302</v>
      </c>
      <c r="E5" s="127"/>
      <c r="F5" s="128">
        <v>0.25116666666666665</v>
      </c>
      <c r="G5" s="129">
        <v>3.8135783235210524E-2</v>
      </c>
      <c r="H5" s="130" t="s">
        <v>1303</v>
      </c>
      <c r="I5" s="70"/>
      <c r="J5" s="143"/>
      <c r="K5" s="129"/>
      <c r="L5" s="129"/>
      <c r="M5" s="130"/>
      <c r="N5" s="70"/>
      <c r="O5" s="143"/>
      <c r="P5" s="129"/>
      <c r="Q5" s="129"/>
      <c r="R5" s="130"/>
      <c r="S5" s="70"/>
      <c r="T5" s="128"/>
      <c r="U5" s="128"/>
      <c r="V5" s="68" t="s">
        <v>1298</v>
      </c>
      <c r="W5" s="71" t="s">
        <v>1299</v>
      </c>
      <c r="X5" s="69" t="s">
        <v>823</v>
      </c>
      <c r="Y5" s="68" t="s">
        <v>1300</v>
      </c>
      <c r="Z5" s="68"/>
      <c r="AA5" s="68" t="s">
        <v>92</v>
      </c>
      <c r="AB5" s="72" t="s">
        <v>1405</v>
      </c>
    </row>
    <row r="6" spans="1:28" x14ac:dyDescent="0.3">
      <c r="A6" s="67" t="s">
        <v>1304</v>
      </c>
      <c r="B6" s="68" t="s">
        <v>1294</v>
      </c>
      <c r="C6" s="69" t="s">
        <v>1295</v>
      </c>
      <c r="D6" s="69" t="s">
        <v>1305</v>
      </c>
      <c r="E6" s="127"/>
      <c r="F6" s="128">
        <v>0.205875</v>
      </c>
      <c r="G6" s="129">
        <v>2.9885535876567913E-2</v>
      </c>
      <c r="H6" s="130" t="s">
        <v>1303</v>
      </c>
      <c r="I6" s="70"/>
      <c r="J6" s="143"/>
      <c r="K6" s="129"/>
      <c r="L6" s="129"/>
      <c r="M6" s="130"/>
      <c r="N6" s="70"/>
      <c r="O6" s="143"/>
      <c r="P6" s="129"/>
      <c r="Q6" s="129"/>
      <c r="R6" s="130"/>
      <c r="S6" s="70"/>
      <c r="T6" s="128"/>
      <c r="U6" s="128"/>
      <c r="V6" s="68" t="s">
        <v>1298</v>
      </c>
      <c r="W6" s="71" t="s">
        <v>1299</v>
      </c>
      <c r="X6" s="69" t="s">
        <v>823</v>
      </c>
      <c r="Y6" s="68" t="s">
        <v>1300</v>
      </c>
      <c r="Z6" s="68"/>
      <c r="AA6" s="68" t="s">
        <v>92</v>
      </c>
      <c r="AB6" s="72" t="s">
        <v>1405</v>
      </c>
    </row>
    <row r="7" spans="1:28" x14ac:dyDescent="0.3">
      <c r="A7" s="60">
        <v>4</v>
      </c>
      <c r="B7" s="61" t="s">
        <v>1288</v>
      </c>
      <c r="C7" s="62" t="s">
        <v>1306</v>
      </c>
      <c r="D7" s="62" t="s">
        <v>1307</v>
      </c>
      <c r="E7" s="125" t="s">
        <v>1308</v>
      </c>
      <c r="F7" s="126">
        <v>0.17699999999999999</v>
      </c>
      <c r="G7" s="86">
        <v>5.1999999999999998E-2</v>
      </c>
      <c r="H7" s="107" t="s">
        <v>1283</v>
      </c>
      <c r="I7" s="64"/>
      <c r="J7" s="87" t="s">
        <v>1309</v>
      </c>
      <c r="K7" s="86">
        <v>0.29611111111111116</v>
      </c>
      <c r="L7" s="86">
        <v>6.0976113517943097E-2</v>
      </c>
      <c r="M7" s="107" t="s">
        <v>1283</v>
      </c>
      <c r="N7" s="64"/>
      <c r="O7" s="87" t="s">
        <v>1310</v>
      </c>
      <c r="P7" s="86">
        <v>0.7072222222222222</v>
      </c>
      <c r="Q7" s="86">
        <v>0.29626616744965778</v>
      </c>
      <c r="R7" s="107" t="s">
        <v>1283</v>
      </c>
      <c r="S7" s="64"/>
      <c r="T7" s="126">
        <v>1.1772222222222222</v>
      </c>
      <c r="U7" s="126">
        <v>0.28804117075408286</v>
      </c>
      <c r="V7" s="61"/>
      <c r="W7" s="65" t="s">
        <v>831</v>
      </c>
      <c r="X7" s="61" t="s">
        <v>4</v>
      </c>
      <c r="Y7" s="61" t="s">
        <v>1285</v>
      </c>
      <c r="Z7" s="61" t="s">
        <v>1286</v>
      </c>
      <c r="AA7" s="62" t="s">
        <v>1215</v>
      </c>
      <c r="AB7" s="61" t="s">
        <v>1311</v>
      </c>
    </row>
    <row r="8" spans="1:28" x14ac:dyDescent="0.3">
      <c r="A8" s="73" t="s">
        <v>1312</v>
      </c>
      <c r="B8" s="74" t="s">
        <v>1288</v>
      </c>
      <c r="C8" s="75" t="s">
        <v>1306</v>
      </c>
      <c r="D8" s="75" t="s">
        <v>1313</v>
      </c>
      <c r="E8" s="131"/>
      <c r="F8" s="132">
        <v>0.1075</v>
      </c>
      <c r="G8" s="133">
        <v>3.4355844831324908E-2</v>
      </c>
      <c r="H8" s="134" t="s">
        <v>1314</v>
      </c>
      <c r="I8" s="76"/>
      <c r="J8" s="144"/>
      <c r="K8" s="133">
        <v>0.38</v>
      </c>
      <c r="L8" s="133">
        <v>4.2578902791910463E-2</v>
      </c>
      <c r="M8" s="134" t="s">
        <v>1314</v>
      </c>
      <c r="N8" s="76"/>
      <c r="O8" s="144"/>
      <c r="P8" s="133">
        <v>1.0191666666666666</v>
      </c>
      <c r="Q8" s="133">
        <v>0.34936814659017212</v>
      </c>
      <c r="R8" s="134" t="s">
        <v>1314</v>
      </c>
      <c r="S8" s="76"/>
      <c r="T8" s="132">
        <v>1.4999999999999998</v>
      </c>
      <c r="U8" s="132">
        <v>0.31878240576014005</v>
      </c>
      <c r="V8" s="74"/>
      <c r="W8" s="77" t="s">
        <v>831</v>
      </c>
      <c r="X8" s="74" t="s">
        <v>4</v>
      </c>
      <c r="Y8" s="74" t="s">
        <v>1315</v>
      </c>
      <c r="Z8" s="74" t="s">
        <v>1316</v>
      </c>
      <c r="AA8" s="75" t="s">
        <v>1215</v>
      </c>
      <c r="AB8" s="74" t="s">
        <v>1311</v>
      </c>
    </row>
    <row r="9" spans="1:28" x14ac:dyDescent="0.3">
      <c r="A9" s="73">
        <v>5</v>
      </c>
      <c r="B9" s="75" t="s">
        <v>1317</v>
      </c>
      <c r="C9" s="75" t="s">
        <v>1318</v>
      </c>
      <c r="D9" s="75" t="s">
        <v>1319</v>
      </c>
      <c r="E9" s="131"/>
      <c r="F9" s="132">
        <v>0.17699999999999999</v>
      </c>
      <c r="G9" s="133">
        <v>7.7291078034930086E-2</v>
      </c>
      <c r="H9" s="134" t="s">
        <v>1320</v>
      </c>
      <c r="I9" s="76"/>
      <c r="J9" s="144"/>
      <c r="K9" s="133"/>
      <c r="L9" s="133"/>
      <c r="M9" s="134"/>
      <c r="N9" s="76"/>
      <c r="O9" s="144"/>
      <c r="P9" s="133"/>
      <c r="Q9" s="133"/>
      <c r="R9" s="134"/>
      <c r="S9" s="76"/>
      <c r="T9" s="132"/>
      <c r="U9" s="132"/>
      <c r="V9" s="74" t="s">
        <v>1321</v>
      </c>
      <c r="W9" s="77" t="s">
        <v>1322</v>
      </c>
      <c r="X9" s="75" t="s">
        <v>1323</v>
      </c>
      <c r="Y9" s="74" t="s">
        <v>1324</v>
      </c>
      <c r="Z9" s="74"/>
      <c r="AA9" s="75" t="s">
        <v>37</v>
      </c>
      <c r="AB9" s="78" t="s">
        <v>1325</v>
      </c>
    </row>
    <row r="10" spans="1:28" x14ac:dyDescent="0.3">
      <c r="A10" s="79" t="s">
        <v>1326</v>
      </c>
      <c r="B10" s="80" t="s">
        <v>1317</v>
      </c>
      <c r="C10" s="80" t="s">
        <v>1327</v>
      </c>
      <c r="D10" s="80" t="s">
        <v>1328</v>
      </c>
      <c r="E10" s="135" t="s">
        <v>1329</v>
      </c>
      <c r="F10" s="136">
        <v>7.6000000000000012E-2</v>
      </c>
      <c r="G10" s="136">
        <v>3.8927282634847932E-2</v>
      </c>
      <c r="H10" s="137" t="s">
        <v>1314</v>
      </c>
      <c r="I10" s="81"/>
      <c r="J10" s="138"/>
      <c r="K10" s="145"/>
      <c r="L10" s="145"/>
      <c r="M10" s="137"/>
      <c r="N10" s="81"/>
      <c r="O10" s="138"/>
      <c r="P10" s="145"/>
      <c r="Q10" s="145"/>
      <c r="R10" s="137"/>
      <c r="S10" s="81"/>
      <c r="T10" s="136"/>
      <c r="U10" s="136"/>
      <c r="V10" s="82" t="s">
        <v>1330</v>
      </c>
      <c r="W10" s="83" t="s">
        <v>1331</v>
      </c>
      <c r="X10" s="80" t="s">
        <v>185</v>
      </c>
      <c r="Y10" s="82" t="s">
        <v>1332</v>
      </c>
      <c r="Z10" s="82" t="s">
        <v>1333</v>
      </c>
      <c r="AA10" s="80" t="s">
        <v>37</v>
      </c>
      <c r="AB10" s="84" t="s">
        <v>1325</v>
      </c>
    </row>
    <row r="11" spans="1:28" x14ac:dyDescent="0.3">
      <c r="A11" s="79" t="s">
        <v>1334</v>
      </c>
      <c r="B11" s="80" t="s">
        <v>1317</v>
      </c>
      <c r="C11" s="80" t="s">
        <v>1327</v>
      </c>
      <c r="D11" s="80" t="s">
        <v>1328</v>
      </c>
      <c r="E11" s="138"/>
      <c r="F11" s="136">
        <v>0</v>
      </c>
      <c r="G11" s="136">
        <v>0</v>
      </c>
      <c r="H11" s="137" t="s">
        <v>1335</v>
      </c>
      <c r="I11" s="81"/>
      <c r="J11" s="138"/>
      <c r="K11" s="145"/>
      <c r="L11" s="145"/>
      <c r="M11" s="137"/>
      <c r="N11" s="81"/>
      <c r="O11" s="138"/>
      <c r="P11" s="145"/>
      <c r="Q11" s="145"/>
      <c r="R11" s="137"/>
      <c r="S11" s="81"/>
      <c r="T11" s="136"/>
      <c r="U11" s="136"/>
      <c r="V11" s="82" t="s">
        <v>1336</v>
      </c>
      <c r="W11" s="83" t="s">
        <v>1337</v>
      </c>
      <c r="X11" s="80" t="s">
        <v>1338</v>
      </c>
      <c r="Y11" s="80" t="s">
        <v>1339</v>
      </c>
      <c r="Z11" s="82" t="s">
        <v>1340</v>
      </c>
      <c r="AA11" s="80" t="s">
        <v>37</v>
      </c>
      <c r="AB11" s="84" t="s">
        <v>1325</v>
      </c>
    </row>
    <row r="12" spans="1:28" x14ac:dyDescent="0.3">
      <c r="A12" s="79" t="s">
        <v>1341</v>
      </c>
      <c r="B12" s="80" t="s">
        <v>1317</v>
      </c>
      <c r="C12" s="80" t="s">
        <v>1327</v>
      </c>
      <c r="D12" s="80" t="s">
        <v>1328</v>
      </c>
      <c r="E12" s="135" t="s">
        <v>1342</v>
      </c>
      <c r="F12" s="136">
        <v>0.10333333333333333</v>
      </c>
      <c r="G12" s="136">
        <v>8.4129529760826424E-2</v>
      </c>
      <c r="H12" s="137" t="s">
        <v>1343</v>
      </c>
      <c r="I12" s="81"/>
      <c r="J12" s="138"/>
      <c r="K12" s="145"/>
      <c r="L12" s="145"/>
      <c r="M12" s="137"/>
      <c r="N12" s="81"/>
      <c r="O12" s="138"/>
      <c r="P12" s="145"/>
      <c r="Q12" s="145"/>
      <c r="R12" s="137"/>
      <c r="S12" s="81"/>
      <c r="T12" s="136"/>
      <c r="U12" s="136"/>
      <c r="V12" s="82" t="s">
        <v>1336</v>
      </c>
      <c r="W12" s="83" t="s">
        <v>1344</v>
      </c>
      <c r="X12" s="82"/>
      <c r="Y12" s="80" t="s">
        <v>1345</v>
      </c>
      <c r="Z12" s="82" t="s">
        <v>1346</v>
      </c>
      <c r="AA12" s="80" t="s">
        <v>37</v>
      </c>
      <c r="AB12" s="84" t="s">
        <v>1325</v>
      </c>
    </row>
    <row r="13" spans="1:28" x14ac:dyDescent="0.3">
      <c r="A13" s="79" t="s">
        <v>1347</v>
      </c>
      <c r="B13" s="80" t="s">
        <v>1317</v>
      </c>
      <c r="C13" s="80" t="s">
        <v>1327</v>
      </c>
      <c r="D13" s="80" t="s">
        <v>1328</v>
      </c>
      <c r="E13" s="135" t="s">
        <v>1348</v>
      </c>
      <c r="F13" s="136">
        <v>0.66500000000000004</v>
      </c>
      <c r="G13" s="136">
        <v>1.5000000000000012E-2</v>
      </c>
      <c r="H13" s="137" t="s">
        <v>1335</v>
      </c>
      <c r="I13" s="81"/>
      <c r="J13" s="138"/>
      <c r="K13" s="145"/>
      <c r="L13" s="145"/>
      <c r="M13" s="137"/>
      <c r="N13" s="81"/>
      <c r="O13" s="138"/>
      <c r="P13" s="145"/>
      <c r="Q13" s="145"/>
      <c r="R13" s="137"/>
      <c r="S13" s="81"/>
      <c r="T13" s="136"/>
      <c r="U13" s="136"/>
      <c r="V13" s="82" t="s">
        <v>1349</v>
      </c>
      <c r="W13" s="83" t="s">
        <v>1350</v>
      </c>
      <c r="X13" s="80" t="s">
        <v>424</v>
      </c>
      <c r="Y13" s="82" t="s">
        <v>1351</v>
      </c>
      <c r="Z13" s="82" t="s">
        <v>1352</v>
      </c>
      <c r="AA13" s="80" t="s">
        <v>1353</v>
      </c>
      <c r="AB13" s="84" t="s">
        <v>1325</v>
      </c>
    </row>
    <row r="14" spans="1:28" x14ac:dyDescent="0.3">
      <c r="A14" s="60">
        <v>6</v>
      </c>
      <c r="B14" s="61" t="s">
        <v>1354</v>
      </c>
      <c r="C14" s="62" t="s">
        <v>1355</v>
      </c>
      <c r="D14" s="62"/>
      <c r="E14" s="125"/>
      <c r="F14" s="126">
        <v>0.35833333333333334</v>
      </c>
      <c r="G14" s="86">
        <v>0.15488526219251608</v>
      </c>
      <c r="H14" s="107" t="s">
        <v>1283</v>
      </c>
      <c r="I14" s="64"/>
      <c r="J14" s="87"/>
      <c r="K14" s="86"/>
      <c r="L14" s="86"/>
      <c r="M14" s="107"/>
      <c r="N14" s="64"/>
      <c r="O14" s="87" t="s">
        <v>1356</v>
      </c>
      <c r="P14" s="86">
        <v>1.6533333333333333</v>
      </c>
      <c r="Q14" s="86">
        <v>0.17677983796550736</v>
      </c>
      <c r="R14" s="107" t="s">
        <v>1283</v>
      </c>
      <c r="S14" s="64"/>
      <c r="T14" s="126"/>
      <c r="U14" s="126"/>
      <c r="V14" s="61" t="s">
        <v>1357</v>
      </c>
      <c r="W14" s="65" t="s">
        <v>815</v>
      </c>
      <c r="X14" s="62" t="s">
        <v>244</v>
      </c>
      <c r="Y14" s="61" t="s">
        <v>1358</v>
      </c>
      <c r="Z14" s="61" t="s">
        <v>1359</v>
      </c>
      <c r="AA14" s="62" t="s">
        <v>37</v>
      </c>
      <c r="AB14" s="61" t="s">
        <v>1360</v>
      </c>
    </row>
    <row r="15" spans="1:28" x14ac:dyDescent="0.3">
      <c r="A15" s="60">
        <v>7</v>
      </c>
      <c r="B15" s="61" t="s">
        <v>1280</v>
      </c>
      <c r="C15" s="62" t="s">
        <v>1361</v>
      </c>
      <c r="D15" s="62" t="s">
        <v>1362</v>
      </c>
      <c r="E15" s="125" t="s">
        <v>1363</v>
      </c>
      <c r="F15" s="126">
        <v>1.9974444444444444E-2</v>
      </c>
      <c r="G15" s="86">
        <v>7.3841904025583318E-3</v>
      </c>
      <c r="H15" s="107" t="s">
        <v>1364</v>
      </c>
      <c r="I15" s="64"/>
      <c r="J15" s="87" t="s">
        <v>1365</v>
      </c>
      <c r="K15" s="86">
        <v>5.6237777777777775E-2</v>
      </c>
      <c r="L15" s="86">
        <v>6.8495239989612286E-3</v>
      </c>
      <c r="M15" s="107" t="s">
        <v>1343</v>
      </c>
      <c r="N15" s="64"/>
      <c r="O15" s="87" t="s">
        <v>1366</v>
      </c>
      <c r="P15" s="86">
        <v>2.5877777777777777</v>
      </c>
      <c r="Q15" s="86">
        <v>0.54382163924272242</v>
      </c>
      <c r="R15" s="107" t="s">
        <v>1343</v>
      </c>
      <c r="S15" s="64"/>
      <c r="T15" s="126"/>
      <c r="U15" s="126"/>
      <c r="V15" s="61" t="s">
        <v>1367</v>
      </c>
      <c r="W15" s="65"/>
      <c r="X15" s="62" t="s">
        <v>1368</v>
      </c>
      <c r="Y15" s="62" t="s">
        <v>1369</v>
      </c>
      <c r="Z15" s="61" t="s">
        <v>1370</v>
      </c>
      <c r="AA15" s="62" t="s">
        <v>1371</v>
      </c>
      <c r="AB15" s="61" t="s">
        <v>1372</v>
      </c>
    </row>
    <row r="16" spans="1:28" x14ac:dyDescent="0.3">
      <c r="A16" s="67" t="s">
        <v>1373</v>
      </c>
      <c r="B16" s="68" t="s">
        <v>1374</v>
      </c>
      <c r="C16" s="69" t="s">
        <v>1361</v>
      </c>
      <c r="D16" s="69" t="s">
        <v>1375</v>
      </c>
      <c r="E16" s="127"/>
      <c r="F16" s="128">
        <v>1.9021666666666666E-2</v>
      </c>
      <c r="G16" s="129">
        <v>6.1360782354131617E-3</v>
      </c>
      <c r="H16" s="130" t="s">
        <v>1376</v>
      </c>
      <c r="I16" s="70"/>
      <c r="J16" s="143"/>
      <c r="K16" s="129">
        <v>6.1919999999999996E-2</v>
      </c>
      <c r="L16" s="129">
        <v>3.9663476062157281E-3</v>
      </c>
      <c r="M16" s="130" t="s">
        <v>1343</v>
      </c>
      <c r="N16" s="70"/>
      <c r="O16" s="143"/>
      <c r="P16" s="129">
        <v>2.5883333333333334</v>
      </c>
      <c r="Q16" s="129">
        <v>0.40554010625063713</v>
      </c>
      <c r="R16" s="130" t="s">
        <v>1314</v>
      </c>
      <c r="S16" s="70"/>
      <c r="T16" s="128"/>
      <c r="U16" s="128"/>
      <c r="V16" s="68" t="s">
        <v>68</v>
      </c>
      <c r="W16" s="71"/>
      <c r="X16" s="69" t="s">
        <v>1368</v>
      </c>
      <c r="Y16" s="68" t="s">
        <v>1377</v>
      </c>
      <c r="Z16" s="68" t="s">
        <v>1370</v>
      </c>
      <c r="AA16" s="68" t="s">
        <v>1371</v>
      </c>
      <c r="AB16" s="68" t="s">
        <v>1378</v>
      </c>
    </row>
    <row r="17" spans="1:28" x14ac:dyDescent="0.3">
      <c r="A17" s="67" t="s">
        <v>1379</v>
      </c>
      <c r="B17" s="68" t="s">
        <v>1374</v>
      </c>
      <c r="C17" s="69" t="s">
        <v>1361</v>
      </c>
      <c r="D17" s="69" t="s">
        <v>1380</v>
      </c>
      <c r="E17" s="127"/>
      <c r="F17" s="128">
        <v>2.188E-2</v>
      </c>
      <c r="G17" s="129">
        <v>8.2544553626107495E-3</v>
      </c>
      <c r="H17" s="130" t="s">
        <v>1381</v>
      </c>
      <c r="I17" s="70"/>
      <c r="J17" s="143"/>
      <c r="K17" s="129">
        <v>4.4873333333333328E-2</v>
      </c>
      <c r="L17" s="129">
        <v>1.1753838143819716E-2</v>
      </c>
      <c r="M17" s="130" t="s">
        <v>1343</v>
      </c>
      <c r="N17" s="70"/>
      <c r="O17" s="143"/>
      <c r="P17" s="129">
        <v>2.5866666666666664</v>
      </c>
      <c r="Q17" s="129">
        <v>0.55119063046382755</v>
      </c>
      <c r="R17" s="130" t="s">
        <v>1382</v>
      </c>
      <c r="S17" s="70"/>
      <c r="T17" s="128"/>
      <c r="U17" s="128"/>
      <c r="V17" s="68" t="s">
        <v>819</v>
      </c>
      <c r="W17" s="71"/>
      <c r="X17" s="69" t="s">
        <v>1368</v>
      </c>
      <c r="Y17" s="68" t="s">
        <v>1377</v>
      </c>
      <c r="Z17" s="68" t="s">
        <v>1370</v>
      </c>
      <c r="AA17" s="68" t="s">
        <v>1371</v>
      </c>
      <c r="AB17" s="68" t="s">
        <v>1383</v>
      </c>
    </row>
    <row r="18" spans="1:28" x14ac:dyDescent="0.3">
      <c r="A18" s="60">
        <v>8</v>
      </c>
      <c r="B18" s="61" t="s">
        <v>1280</v>
      </c>
      <c r="C18" s="62" t="s">
        <v>1289</v>
      </c>
      <c r="D18" s="62" t="s">
        <v>1384</v>
      </c>
      <c r="E18" s="125"/>
      <c r="F18" s="126">
        <f>0.022/2</f>
        <v>1.0999999999999999E-2</v>
      </c>
      <c r="G18" s="86">
        <f>0.03/2</f>
        <v>1.4999999999999999E-2</v>
      </c>
      <c r="H18" s="107" t="s">
        <v>1343</v>
      </c>
      <c r="I18" s="64"/>
      <c r="J18" s="87"/>
      <c r="K18" s="86">
        <f>0.99/2</f>
        <v>0.495</v>
      </c>
      <c r="L18" s="86">
        <f>0.28/2</f>
        <v>0.14000000000000001</v>
      </c>
      <c r="M18" s="107"/>
      <c r="N18" s="64"/>
      <c r="O18" s="87"/>
      <c r="P18" s="86">
        <f>1/2</f>
        <v>0.5</v>
      </c>
      <c r="Q18" s="86">
        <f>0.37/2</f>
        <v>0.185</v>
      </c>
      <c r="R18" s="107"/>
      <c r="S18" s="64"/>
      <c r="T18" s="126"/>
      <c r="U18" s="126"/>
      <c r="V18" s="61" t="s">
        <v>1385</v>
      </c>
      <c r="W18" s="65" t="s">
        <v>1386</v>
      </c>
      <c r="X18" s="61" t="s">
        <v>4</v>
      </c>
      <c r="Y18" s="62" t="s">
        <v>708</v>
      </c>
      <c r="Z18" s="61"/>
      <c r="AA18" s="62" t="s">
        <v>1215</v>
      </c>
      <c r="AB18" s="85" t="s">
        <v>1406</v>
      </c>
    </row>
    <row r="19" spans="1:28" x14ac:dyDescent="0.3">
      <c r="A19" s="79" t="s">
        <v>1387</v>
      </c>
      <c r="B19" s="82" t="s">
        <v>1388</v>
      </c>
      <c r="C19" s="80" t="s">
        <v>1289</v>
      </c>
      <c r="D19" s="82" t="s">
        <v>1389</v>
      </c>
      <c r="E19" s="138"/>
      <c r="F19" s="136"/>
      <c r="G19" s="136"/>
      <c r="H19" s="137"/>
      <c r="I19" s="81"/>
      <c r="J19" s="146"/>
      <c r="K19" s="136"/>
      <c r="L19" s="136"/>
      <c r="M19" s="137"/>
      <c r="N19" s="81"/>
      <c r="O19" s="146"/>
      <c r="P19" s="136"/>
      <c r="Q19" s="136"/>
      <c r="R19" s="137"/>
      <c r="S19" s="81"/>
      <c r="T19" s="136">
        <v>4.2</v>
      </c>
      <c r="U19" s="136">
        <v>0.4</v>
      </c>
      <c r="V19" s="82" t="s">
        <v>74</v>
      </c>
      <c r="W19" s="83">
        <v>7</v>
      </c>
      <c r="X19" s="80" t="s">
        <v>102</v>
      </c>
      <c r="Y19" s="82" t="s">
        <v>1390</v>
      </c>
      <c r="Z19" s="82" t="s">
        <v>1391</v>
      </c>
      <c r="AA19" s="80" t="s">
        <v>13</v>
      </c>
      <c r="AB19" s="82" t="s">
        <v>1392</v>
      </c>
    </row>
    <row r="20" spans="1:28" x14ac:dyDescent="0.3">
      <c r="A20" s="67" t="s">
        <v>1393</v>
      </c>
      <c r="B20" s="68" t="s">
        <v>1388</v>
      </c>
      <c r="C20" s="69" t="s">
        <v>1289</v>
      </c>
      <c r="D20" s="68" t="s">
        <v>1394</v>
      </c>
      <c r="E20" s="139"/>
      <c r="F20" s="129"/>
      <c r="G20" s="129"/>
      <c r="H20" s="130"/>
      <c r="I20" s="70"/>
      <c r="J20" s="143"/>
      <c r="K20" s="129"/>
      <c r="L20" s="129"/>
      <c r="M20" s="130"/>
      <c r="N20" s="70"/>
      <c r="O20" s="143"/>
      <c r="P20" s="129"/>
      <c r="Q20" s="129"/>
      <c r="R20" s="130"/>
      <c r="S20" s="70"/>
      <c r="T20" s="129">
        <v>1.9</v>
      </c>
      <c r="U20" s="129">
        <v>0.5</v>
      </c>
      <c r="V20" s="68" t="s">
        <v>74</v>
      </c>
      <c r="W20" s="71">
        <v>20</v>
      </c>
      <c r="X20" s="69" t="s">
        <v>102</v>
      </c>
      <c r="Y20" s="68" t="s">
        <v>1390</v>
      </c>
      <c r="Z20" s="68" t="s">
        <v>1391</v>
      </c>
      <c r="AA20" s="69" t="s">
        <v>13</v>
      </c>
      <c r="AB20" s="68" t="s">
        <v>1392</v>
      </c>
    </row>
    <row r="21" spans="1:28" x14ac:dyDescent="0.3">
      <c r="A21" s="60">
        <v>16</v>
      </c>
      <c r="B21" s="62" t="s">
        <v>1395</v>
      </c>
      <c r="C21" s="62" t="s">
        <v>1327</v>
      </c>
      <c r="D21" s="62" t="s">
        <v>1396</v>
      </c>
      <c r="E21" s="125" t="s">
        <v>1397</v>
      </c>
      <c r="F21" s="86">
        <v>0.63169999999999993</v>
      </c>
      <c r="G21" s="86">
        <v>0.119589723638781</v>
      </c>
      <c r="H21" s="107" t="s">
        <v>1283</v>
      </c>
      <c r="I21" s="64"/>
      <c r="J21" s="147"/>
      <c r="K21" s="104"/>
      <c r="L21" s="104"/>
      <c r="M21" s="107"/>
      <c r="N21" s="64"/>
      <c r="O21" s="147"/>
      <c r="P21" s="104"/>
      <c r="Q21" s="104"/>
      <c r="R21" s="107"/>
      <c r="S21" s="64"/>
      <c r="T21" s="86"/>
      <c r="U21" s="86"/>
      <c r="V21" s="61" t="s">
        <v>74</v>
      </c>
      <c r="W21" s="65" t="s">
        <v>1398</v>
      </c>
      <c r="X21" s="62" t="s">
        <v>399</v>
      </c>
      <c r="Y21" s="61" t="s">
        <v>1399</v>
      </c>
      <c r="Z21" s="61" t="s">
        <v>1400</v>
      </c>
      <c r="AA21" s="62" t="s">
        <v>37</v>
      </c>
      <c r="AB21" s="85" t="s">
        <v>1407</v>
      </c>
    </row>
    <row r="22" spans="1:28" x14ac:dyDescent="0.3">
      <c r="A22" s="60">
        <v>17</v>
      </c>
      <c r="B22" s="62" t="s">
        <v>1401</v>
      </c>
      <c r="C22" s="62" t="s">
        <v>1361</v>
      </c>
      <c r="D22" s="61"/>
      <c r="E22" s="140"/>
      <c r="F22" s="141"/>
      <c r="G22" s="141"/>
      <c r="H22" s="142"/>
      <c r="I22" s="64"/>
      <c r="J22" s="140"/>
      <c r="K22" s="141"/>
      <c r="L22" s="141"/>
      <c r="M22" s="142"/>
      <c r="N22" s="64"/>
      <c r="O22" s="140"/>
      <c r="P22" s="141"/>
      <c r="Q22" s="141"/>
      <c r="R22" s="142"/>
      <c r="S22" s="64"/>
      <c r="T22" s="86">
        <v>0.34011000000000002</v>
      </c>
      <c r="U22" s="86">
        <v>4.9340972031898904E-2</v>
      </c>
      <c r="V22" s="61" t="s">
        <v>74</v>
      </c>
      <c r="W22" s="65" t="s">
        <v>1402</v>
      </c>
      <c r="X22" s="62" t="s">
        <v>399</v>
      </c>
      <c r="Y22" s="61" t="s">
        <v>1403</v>
      </c>
      <c r="Z22" s="61"/>
      <c r="AA22" s="62" t="s">
        <v>37</v>
      </c>
      <c r="AB22" s="85" t="s">
        <v>1408</v>
      </c>
    </row>
    <row r="23" spans="1:28" x14ac:dyDescent="0.3">
      <c r="A23" s="60"/>
      <c r="B23" s="62"/>
      <c r="C23" s="62"/>
      <c r="D23" s="61"/>
      <c r="E23" s="61"/>
      <c r="F23" s="61"/>
      <c r="G23" s="61"/>
      <c r="H23" s="64"/>
      <c r="I23" s="64"/>
      <c r="J23" s="61"/>
      <c r="K23" s="61"/>
      <c r="L23" s="61"/>
      <c r="M23" s="64"/>
      <c r="N23" s="64"/>
      <c r="O23" s="61"/>
      <c r="P23" s="61"/>
      <c r="Q23" s="61"/>
      <c r="R23" s="64"/>
      <c r="S23" s="64"/>
      <c r="T23" s="63"/>
      <c r="U23" s="63"/>
      <c r="V23" s="61"/>
      <c r="W23" s="65"/>
      <c r="X23" s="62"/>
      <c r="Y23" s="61"/>
      <c r="Z23" s="61"/>
      <c r="AA23" s="62"/>
      <c r="AB23" s="85"/>
    </row>
    <row r="24" spans="1:28" x14ac:dyDescent="0.3">
      <c r="A24" s="61"/>
      <c r="B24" s="61"/>
      <c r="C24" s="61"/>
      <c r="D24" s="61"/>
      <c r="E24" s="108" t="s">
        <v>1475</v>
      </c>
      <c r="F24" s="109" t="s">
        <v>1461</v>
      </c>
      <c r="G24" s="110" t="s">
        <v>1024</v>
      </c>
      <c r="H24" s="111" t="s">
        <v>780</v>
      </c>
      <c r="I24" s="112"/>
      <c r="J24" s="108" t="s">
        <v>1476</v>
      </c>
      <c r="K24" s="109" t="s">
        <v>1461</v>
      </c>
      <c r="L24" s="110" t="s">
        <v>1024</v>
      </c>
      <c r="M24" s="111" t="s">
        <v>780</v>
      </c>
      <c r="N24" s="113"/>
      <c r="O24" s="108" t="s">
        <v>1477</v>
      </c>
      <c r="P24" s="109" t="s">
        <v>1461</v>
      </c>
      <c r="Q24" s="110" t="s">
        <v>1024</v>
      </c>
      <c r="R24" s="111" t="s">
        <v>780</v>
      </c>
      <c r="S24" s="105"/>
      <c r="T24" s="86"/>
      <c r="U24" s="104"/>
      <c r="V24" s="61"/>
      <c r="W24" s="65"/>
      <c r="X24" s="61"/>
      <c r="Y24" s="61"/>
      <c r="Z24" s="61"/>
      <c r="AA24" s="61"/>
      <c r="AB24" s="61"/>
    </row>
    <row r="25" spans="1:28" ht="41.25" customHeight="1" x14ac:dyDescent="0.3">
      <c r="A25" s="61"/>
      <c r="C25" s="61"/>
      <c r="D25" s="164" t="s">
        <v>1479</v>
      </c>
      <c r="E25" s="123" t="s">
        <v>1464</v>
      </c>
      <c r="F25" s="114">
        <f>F26</f>
        <v>0.20932182870370367</v>
      </c>
      <c r="G25" s="114">
        <f>G26</f>
        <v>0.22869405119890257</v>
      </c>
      <c r="H25" s="247">
        <f>H26</f>
        <v>12</v>
      </c>
      <c r="I25" s="124"/>
      <c r="J25" s="123" t="s">
        <v>1464</v>
      </c>
      <c r="K25" s="114">
        <f>K26</f>
        <v>0.26183722222222228</v>
      </c>
      <c r="L25" s="114">
        <f>L26</f>
        <v>0.18406027455577503</v>
      </c>
      <c r="M25" s="247">
        <f>M26</f>
        <v>4</v>
      </c>
      <c r="N25" s="124"/>
      <c r="O25" s="123" t="s">
        <v>1464</v>
      </c>
      <c r="P25" s="114">
        <f>P26</f>
        <v>1.4163888888888889</v>
      </c>
      <c r="Q25" s="114">
        <f>Q26</f>
        <v>0.90450243808064279</v>
      </c>
      <c r="R25" s="247">
        <f>R26</f>
        <v>6</v>
      </c>
      <c r="S25" s="105"/>
      <c r="T25" s="126"/>
      <c r="U25" s="126"/>
      <c r="V25" s="61"/>
      <c r="W25" s="65"/>
      <c r="X25" s="61"/>
      <c r="Y25" s="61"/>
      <c r="Z25" s="61"/>
      <c r="AA25" s="61"/>
      <c r="AB25" s="61"/>
    </row>
    <row r="26" spans="1:28" x14ac:dyDescent="0.3">
      <c r="D26" s="32"/>
      <c r="E26" s="115" t="s">
        <v>1473</v>
      </c>
      <c r="F26" s="116">
        <f>AVERAGE(F2:F4,F7,F10:F13,F14,F15,F18,F21)</f>
        <v>0.20932182870370367</v>
      </c>
      <c r="G26" s="116">
        <f>STDEV(F2:F4,F7,F10:F13,F14,F15,F18,F21)</f>
        <v>0.22869405119890257</v>
      </c>
      <c r="H26" s="117">
        <f>COUNT(F2:F4,F7,F10:F13,F14,F15,F18,F21)</f>
        <v>12</v>
      </c>
      <c r="I26" s="118"/>
      <c r="J26" s="115" t="s">
        <v>1473</v>
      </c>
      <c r="K26" s="116">
        <f>AVERAGE(K2:K4,K7,K10:K13,K14,K15,K18,K21)</f>
        <v>0.26183722222222228</v>
      </c>
      <c r="L26" s="116">
        <f>STDEV(K2:K4,K7,K10:K13,K14,K15,K18,K21)</f>
        <v>0.18406027455577503</v>
      </c>
      <c r="M26" s="117">
        <f>COUNT(K2:K4,K7,K10:K13,K14,K15,K18,K21)</f>
        <v>4</v>
      </c>
      <c r="N26" s="118"/>
      <c r="O26" s="115" t="s">
        <v>1473</v>
      </c>
      <c r="P26" s="116">
        <f>AVERAGE(P2:P4,P7,P10:P13,P14,P15,P18,P21)</f>
        <v>1.4163888888888889</v>
      </c>
      <c r="Q26" s="116">
        <f>STDEV(P2:P4,P7,P10:P13,P14,P15,P18,P21)</f>
        <v>0.90450243808064279</v>
      </c>
      <c r="R26" s="117">
        <f>COUNT(P2:P4,P7,P10:P13,P14,P15,P18,P21)</f>
        <v>6</v>
      </c>
      <c r="S26" s="26"/>
      <c r="T26" s="86"/>
      <c r="U26" s="86"/>
      <c r="V26" s="161"/>
    </row>
    <row r="27" spans="1:28" x14ac:dyDescent="0.3">
      <c r="E27" s="115" t="s">
        <v>1371</v>
      </c>
      <c r="F27" s="116">
        <f>AVERAGE(F4,F15)</f>
        <v>0.12424763888888887</v>
      </c>
      <c r="G27" s="116">
        <f>STDEV(F4,F15)</f>
        <v>0.1474645657753002</v>
      </c>
      <c r="H27" s="117">
        <f>COUNT(F4,F15)</f>
        <v>2</v>
      </c>
      <c r="I27" s="118"/>
      <c r="J27" s="115" t="s">
        <v>1371</v>
      </c>
      <c r="K27" s="116">
        <f>AVERAGE(K4,K15)</f>
        <v>5.6237777777777775E-2</v>
      </c>
      <c r="L27" s="116" t="e">
        <f>STDEV(K4,K15)</f>
        <v>#DIV/0!</v>
      </c>
      <c r="M27" s="117">
        <f>COUNT(K4,K15)</f>
        <v>1</v>
      </c>
      <c r="N27" s="118"/>
      <c r="O27" s="115" t="s">
        <v>1371</v>
      </c>
      <c r="P27" s="116">
        <f>AVERAGE(P4,P15)</f>
        <v>2.5877777777777777</v>
      </c>
      <c r="Q27" s="116" t="e">
        <f>STDEV(P4,P15)</f>
        <v>#DIV/0!</v>
      </c>
      <c r="R27" s="117">
        <f>COUNT(P4,P15)</f>
        <v>1</v>
      </c>
      <c r="S27" s="26"/>
      <c r="T27" s="86"/>
      <c r="U27" s="86"/>
      <c r="V27" s="161"/>
    </row>
    <row r="28" spans="1:28" x14ac:dyDescent="0.3">
      <c r="E28" s="115" t="s">
        <v>1460</v>
      </c>
      <c r="F28" s="116">
        <f>AVERAGE(F2,F7,F18)</f>
        <v>0.11299999999999999</v>
      </c>
      <c r="G28" s="116">
        <f>STDEV(F2,F7,F18)</f>
        <v>8.928605714219888E-2</v>
      </c>
      <c r="H28" s="117">
        <f>COUNT(F2,F7,F18)</f>
        <v>3</v>
      </c>
      <c r="I28" s="118"/>
      <c r="J28" s="115" t="s">
        <v>1460</v>
      </c>
      <c r="K28" s="116">
        <f>AVERAGE(K2,K7,K18)</f>
        <v>0.39555555555555555</v>
      </c>
      <c r="L28" s="116">
        <f>STDEV(K2,K7,K18)</f>
        <v>0.14063568203599136</v>
      </c>
      <c r="M28" s="117">
        <f>COUNT(K2,K7,K18)</f>
        <v>2</v>
      </c>
      <c r="N28" s="118"/>
      <c r="O28" s="115" t="s">
        <v>1460</v>
      </c>
      <c r="P28" s="116">
        <f>AVERAGE(P2,P7,P18)</f>
        <v>0.64240740740740743</v>
      </c>
      <c r="Q28" s="116">
        <f>STDEV(P2,P7,P18)</f>
        <v>0.1234938061791321</v>
      </c>
      <c r="R28" s="117">
        <f>COUNT(P2,P7,P18)</f>
        <v>3</v>
      </c>
      <c r="S28" s="26"/>
      <c r="T28" s="86"/>
      <c r="U28" s="86"/>
      <c r="V28" s="161"/>
    </row>
    <row r="29" spans="1:28" x14ac:dyDescent="0.3">
      <c r="E29" s="115" t="s">
        <v>37</v>
      </c>
      <c r="F29" s="116">
        <f>AVERAGE(F3,F10,F11,F12,F14,F21)</f>
        <v>0.20989444444444441</v>
      </c>
      <c r="G29" s="116">
        <f>STDEV(F3,F10,F11,F12,F14,F21)</f>
        <v>0.23986136775383557</v>
      </c>
      <c r="H29" s="117">
        <f>COUNT(F3,F10,F11,F12,F14,F21)</f>
        <v>6</v>
      </c>
      <c r="I29" s="118"/>
      <c r="J29" s="115" t="s">
        <v>37</v>
      </c>
      <c r="K29" s="116">
        <f>AVERAGE(K3,K10,K11,K12,K14,K21)</f>
        <v>0.2</v>
      </c>
      <c r="L29" s="116" t="e">
        <f>STDEV(K3,K10,K11,K12,K14,K21)</f>
        <v>#DIV/0!</v>
      </c>
      <c r="M29" s="117">
        <f>COUNT(K3,K10,K11,K12,K14,K21)</f>
        <v>1</v>
      </c>
      <c r="N29" s="118"/>
      <c r="O29" s="115" t="s">
        <v>37</v>
      </c>
      <c r="P29" s="116">
        <f>AVERAGE(P3,P10,P11,P12,P14,P21)</f>
        <v>1.9916666666666667</v>
      </c>
      <c r="Q29" s="116">
        <f>STDEV(P3,P10,P11,P12,P14,P21)</f>
        <v>0.47847558860289824</v>
      </c>
      <c r="R29" s="117">
        <f>COUNT(P3,P10,P11,P12,P14,P21)</f>
        <v>2</v>
      </c>
      <c r="S29" s="26"/>
      <c r="T29" s="86"/>
      <c r="U29" s="86"/>
      <c r="V29" s="161"/>
    </row>
    <row r="32" spans="1:28" x14ac:dyDescent="0.3">
      <c r="F32" s="3" t="s">
        <v>1839</v>
      </c>
      <c r="G32" s="4">
        <f>G25/SQRT(H25)*1.96</f>
        <v>0.1293958405813174</v>
      </c>
      <c r="K32" s="3" t="s">
        <v>1839</v>
      </c>
      <c r="L32" s="4">
        <f>L25/SQRT(M25)*1.96</f>
        <v>0.18037906906465953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Coral growth rates and density</vt:lpstr>
      <vt:lpstr>Coral taxa average rates</vt:lpstr>
      <vt:lpstr>CCA calcification rates</vt:lpstr>
      <vt:lpstr>Macro-&amp; Microbioerosion rates</vt:lpstr>
    </vt:vector>
  </TitlesOfParts>
  <Company>University of Exeter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Ines</dc:creator>
  <cp:lastModifiedBy>Lange, Ines</cp:lastModifiedBy>
  <dcterms:created xsi:type="dcterms:W3CDTF">2018-07-10T13:41:03Z</dcterms:created>
  <dcterms:modified xsi:type="dcterms:W3CDTF">2021-11-23T11:40:47Z</dcterms:modified>
</cp:coreProperties>
</file>