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yofexeteruk.sharepoint.com/sites/PayandBenefits/Shared Documents/Payroll/Bulk salary and threshold changes/2025 11 November - Living Wage/"/>
    </mc:Choice>
  </mc:AlternateContent>
  <xr:revisionPtr revIDLastSave="0" documentId="8_{A4902FD4-1E13-4DB1-A6E3-7C57A69BA50B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Table" sheetId="8" r:id="rId1"/>
    <sheet name="Standing data" sheetId="2" state="hidden" r:id="rId2"/>
    <sheet name="Current to Proposed costs" sheetId="10" r:id="rId3"/>
  </sheets>
  <externalReferences>
    <externalReference r:id="rId4"/>
    <externalReference r:id="rId5"/>
  </externalReferences>
  <definedNames>
    <definedName name="holiday">[1]Calculations!#REF!</definedName>
    <definedName name="list1">[2]Workings!$A$3:$A$6</definedName>
    <definedName name="pension2">[1]Calculations!$A$1:$A$3</definedName>
    <definedName name="_xlnm.Print_Area" localSheetId="2">'Current to Proposed costs'!$A$1:$AE$37</definedName>
    <definedName name="_xlnm.Print_Area" localSheetId="1">'Standing data'!$A$1:$H$17</definedName>
    <definedName name="_xlnm.Print_Area" localSheetId="0">Table!$A$1:$Q$85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0" i="8"/>
  <c r="O59" i="8"/>
  <c r="O58" i="8"/>
  <c r="O57" i="8"/>
  <c r="O56" i="8"/>
  <c r="O49" i="8"/>
  <c r="O50" i="8"/>
  <c r="O51" i="8"/>
  <c r="O52" i="8"/>
  <c r="O53" i="8"/>
  <c r="O54" i="8"/>
  <c r="O48" i="8"/>
  <c r="N64" i="8"/>
  <c r="N65" i="8"/>
  <c r="N66" i="8"/>
  <c r="N67" i="8"/>
  <c r="N68" i="8"/>
  <c r="N69" i="8"/>
  <c r="N70" i="8"/>
  <c r="N71" i="8"/>
  <c r="N63" i="8"/>
  <c r="N57" i="8"/>
  <c r="N58" i="8"/>
  <c r="N59" i="8"/>
  <c r="N60" i="8"/>
  <c r="N56" i="8"/>
  <c r="N49" i="8"/>
  <c r="N50" i="8"/>
  <c r="N51" i="8"/>
  <c r="N52" i="8"/>
  <c r="N53" i="8"/>
  <c r="N54" i="8"/>
  <c r="N48" i="8"/>
  <c r="K71" i="8"/>
  <c r="K70" i="8"/>
  <c r="K69" i="8"/>
  <c r="K68" i="8"/>
  <c r="K67" i="8"/>
  <c r="K66" i="8"/>
  <c r="K65" i="8"/>
  <c r="K64" i="8"/>
  <c r="K63" i="8"/>
  <c r="K60" i="8"/>
  <c r="K59" i="8"/>
  <c r="K58" i="8"/>
  <c r="K57" i="8"/>
  <c r="K56" i="8"/>
  <c r="K49" i="8"/>
  <c r="K50" i="8"/>
  <c r="K51" i="8"/>
  <c r="K52" i="8"/>
  <c r="K53" i="8"/>
  <c r="K54" i="8"/>
  <c r="K48" i="8"/>
  <c r="J64" i="8"/>
  <c r="J65" i="8"/>
  <c r="J66" i="8"/>
  <c r="J67" i="8"/>
  <c r="J68" i="8"/>
  <c r="J69" i="8"/>
  <c r="J70" i="8"/>
  <c r="J71" i="8"/>
  <c r="J63" i="8"/>
  <c r="J57" i="8"/>
  <c r="J58" i="8"/>
  <c r="J59" i="8"/>
  <c r="J60" i="8"/>
  <c r="J56" i="8"/>
  <c r="J49" i="8"/>
  <c r="J50" i="8"/>
  <c r="J51" i="8"/>
  <c r="J52" i="8"/>
  <c r="J53" i="8"/>
  <c r="J54" i="8"/>
  <c r="J48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L38" i="8" s="1"/>
  <c r="J39" i="8"/>
  <c r="J40" i="8"/>
  <c r="J41" i="8"/>
  <c r="J42" i="8"/>
  <c r="J43" i="8"/>
  <c r="J44" i="8"/>
  <c r="J45" i="8"/>
  <c r="J46" i="8"/>
  <c r="L46" i="8" s="1"/>
  <c r="J9" i="8"/>
  <c r="K82" i="8"/>
  <c r="K83" i="8"/>
  <c r="K84" i="8"/>
  <c r="K85" i="8"/>
  <c r="K86" i="8"/>
  <c r="K87" i="8"/>
  <c r="K81" i="8"/>
  <c r="J82" i="8"/>
  <c r="J83" i="8"/>
  <c r="J84" i="8"/>
  <c r="J85" i="8"/>
  <c r="J86" i="8"/>
  <c r="J87" i="8"/>
  <c r="J81" i="8"/>
  <c r="I82" i="8"/>
  <c r="I83" i="8"/>
  <c r="I84" i="8"/>
  <c r="I85" i="8"/>
  <c r="I86" i="8"/>
  <c r="I87" i="8"/>
  <c r="I81" i="8"/>
  <c r="I64" i="8"/>
  <c r="I65" i="8"/>
  <c r="I66" i="8"/>
  <c r="I67" i="8"/>
  <c r="I68" i="8"/>
  <c r="I69" i="8"/>
  <c r="I70" i="8"/>
  <c r="I71" i="8"/>
  <c r="I63" i="8"/>
  <c r="I57" i="8"/>
  <c r="I58" i="8"/>
  <c r="I59" i="8"/>
  <c r="I60" i="8"/>
  <c r="I56" i="8"/>
  <c r="I49" i="8"/>
  <c r="I50" i="8"/>
  <c r="I51" i="8"/>
  <c r="I52" i="8"/>
  <c r="I53" i="8"/>
  <c r="I54" i="8"/>
  <c r="I48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L24" i="8" s="1"/>
  <c r="I25" i="8"/>
  <c r="I26" i="8"/>
  <c r="I27" i="8"/>
  <c r="I28" i="8"/>
  <c r="L28" i="8" s="1"/>
  <c r="I29" i="8"/>
  <c r="I30" i="8"/>
  <c r="I31" i="8"/>
  <c r="I32" i="8"/>
  <c r="I33" i="8"/>
  <c r="I34" i="8"/>
  <c r="I35" i="8"/>
  <c r="I36" i="8"/>
  <c r="L36" i="8" s="1"/>
  <c r="I37" i="8"/>
  <c r="I38" i="8"/>
  <c r="I39" i="8"/>
  <c r="I40" i="8"/>
  <c r="I41" i="8"/>
  <c r="I42" i="8"/>
  <c r="I43" i="8"/>
  <c r="I44" i="8"/>
  <c r="L44" i="8" s="1"/>
  <c r="I45" i="8"/>
  <c r="I46" i="8"/>
  <c r="I10" i="8"/>
  <c r="I9" i="8"/>
  <c r="W30" i="10"/>
  <c r="O30" i="10"/>
  <c r="W29" i="10"/>
  <c r="O29" i="10"/>
  <c r="L14" i="8"/>
  <c r="L30" i="8"/>
  <c r="C12" i="2"/>
  <c r="C11" i="2"/>
  <c r="C10" i="2"/>
  <c r="B12" i="2"/>
  <c r="B11" i="2"/>
  <c r="B10" i="2"/>
  <c r="L16" i="8" l="1"/>
  <c r="L32" i="8"/>
  <c r="L22" i="8"/>
  <c r="L40" i="8"/>
  <c r="L42" i="8"/>
  <c r="L26" i="8"/>
  <c r="L18" i="8"/>
  <c r="L10" i="8"/>
  <c r="L34" i="8"/>
  <c r="L29" i="8"/>
  <c r="L21" i="8"/>
  <c r="L13" i="8"/>
  <c r="L37" i="8"/>
  <c r="L45" i="8"/>
  <c r="L39" i="8"/>
  <c r="L31" i="8"/>
  <c r="L23" i="8"/>
  <c r="L15" i="8"/>
  <c r="L20" i="8"/>
  <c r="L12" i="8"/>
  <c r="L43" i="8"/>
  <c r="L35" i="8"/>
  <c r="L27" i="8"/>
  <c r="L19" i="8"/>
  <c r="L11" i="8"/>
  <c r="L41" i="8"/>
  <c r="L33" i="8"/>
  <c r="L25" i="8"/>
  <c r="L17" i="8"/>
  <c r="L87" i="8" l="1"/>
  <c r="L86" i="8"/>
  <c r="L85" i="8"/>
  <c r="L83" i="8"/>
  <c r="L82" i="8"/>
  <c r="L81" i="8"/>
  <c r="P71" i="8"/>
  <c r="L71" i="8"/>
  <c r="L70" i="8"/>
  <c r="P69" i="8"/>
  <c r="P68" i="8"/>
  <c r="L67" i="8"/>
  <c r="P66" i="8"/>
  <c r="L66" i="8"/>
  <c r="L65" i="8"/>
  <c r="L64" i="8"/>
  <c r="L63" i="8"/>
  <c r="P59" i="8"/>
  <c r="L59" i="8"/>
  <c r="P57" i="8"/>
  <c r="L57" i="8"/>
  <c r="P56" i="8"/>
  <c r="L56" i="8"/>
  <c r="P52" i="8"/>
  <c r="L52" i="8"/>
  <c r="P51" i="8"/>
  <c r="L51" i="8"/>
  <c r="P50" i="8"/>
  <c r="L50" i="8"/>
  <c r="P49" i="8"/>
  <c r="P48" i="8"/>
  <c r="L48" i="8"/>
  <c r="P46" i="8"/>
  <c r="P45" i="8"/>
  <c r="P44" i="8"/>
  <c r="P43" i="8"/>
  <c r="P42" i="8"/>
  <c r="P41" i="8"/>
  <c r="P40" i="8"/>
  <c r="P38" i="8"/>
  <c r="P37" i="8"/>
  <c r="P36" i="8"/>
  <c r="P35" i="8"/>
  <c r="P34" i="8"/>
  <c r="P33" i="8"/>
  <c r="P30" i="8"/>
  <c r="P28" i="8"/>
  <c r="P27" i="8"/>
  <c r="P26" i="8"/>
  <c r="P25" i="8"/>
  <c r="P24" i="8"/>
  <c r="P23" i="8"/>
  <c r="P22" i="8"/>
  <c r="P21" i="8"/>
  <c r="P18" i="8"/>
  <c r="P17" i="8"/>
  <c r="P15" i="8"/>
  <c r="P14" i="8"/>
  <c r="P13" i="8"/>
  <c r="P12" i="8"/>
  <c r="P11" i="8"/>
  <c r="P10" i="8"/>
  <c r="P9" i="8"/>
  <c r="L9" i="8" l="1"/>
  <c r="P54" i="8"/>
  <c r="P64" i="8"/>
  <c r="L69" i="8"/>
  <c r="P32" i="8"/>
  <c r="P39" i="8"/>
  <c r="L49" i="8"/>
  <c r="L53" i="8"/>
  <c r="P67" i="8"/>
  <c r="P70" i="8"/>
  <c r="L60" i="8"/>
  <c r="L84" i="8"/>
  <c r="P20" i="8"/>
  <c r="P31" i="8"/>
  <c r="P53" i="8"/>
  <c r="P58" i="8"/>
  <c r="P63" i="8"/>
  <c r="L68" i="8"/>
  <c r="P16" i="8"/>
  <c r="P60" i="8"/>
  <c r="P65" i="8"/>
  <c r="P19" i="8"/>
  <c r="P29" i="8"/>
  <c r="L54" i="8"/>
  <c r="L58" i="8"/>
  <c r="W14" i="10"/>
  <c r="Z16" i="10" s="1"/>
  <c r="O14" i="10"/>
  <c r="O16" i="10" s="1"/>
  <c r="W63" i="10"/>
  <c r="Z64" i="10" s="1"/>
  <c r="O63" i="10"/>
  <c r="R64" i="10" s="1"/>
  <c r="W54" i="10"/>
  <c r="Z55" i="10" s="1"/>
  <c r="O54" i="10"/>
  <c r="R55" i="10" s="1"/>
  <c r="Z23" i="10" l="1"/>
  <c r="R23" i="10"/>
  <c r="W16" i="10"/>
  <c r="Z17" i="10" s="1"/>
  <c r="Z18" i="10" s="1"/>
  <c r="Z20" i="10" s="1"/>
  <c r="R45" i="10"/>
  <c r="Z45" i="10"/>
  <c r="R16" i="10"/>
  <c r="R17" i="10" s="1"/>
  <c r="R18" i="10" s="1"/>
  <c r="R20" i="10" s="1"/>
  <c r="Z30" i="10" l="1"/>
  <c r="Z29" i="10"/>
  <c r="Z22" i="10"/>
  <c r="Z25" i="10" s="1"/>
  <c r="Z27" i="10" s="1"/>
  <c r="Z28" i="10" s="1"/>
  <c r="R30" i="10" l="1"/>
  <c r="R29" i="10"/>
  <c r="R22" i="10"/>
  <c r="Z31" i="10"/>
  <c r="R25" i="10" l="1"/>
  <c r="R27" i="10" l="1"/>
  <c r="R28" i="10" s="1"/>
  <c r="R31" i="10" l="1"/>
  <c r="Z35" i="10" l="1"/>
  <c r="O35" i="10"/>
</calcChain>
</file>

<file path=xl/sharedStrings.xml><?xml version="1.0" encoding="utf-8"?>
<sst xmlns="http://schemas.openxmlformats.org/spreadsheetml/2006/main" count="219" uniqueCount="117">
  <si>
    <t>UNIVERSITY OF EXETER PAY SCALES</t>
  </si>
  <si>
    <t>= incremental points</t>
  </si>
  <si>
    <t>= contribution points</t>
  </si>
  <si>
    <t>Pension Scheme employer contribution rates - USS 14.5% and ERSS 12.0%</t>
  </si>
  <si>
    <t>Note: this table will give the oncost figure for a full-time whole year appointment only.</t>
  </si>
  <si>
    <t>In Pension Scheme (not PSX)</t>
  </si>
  <si>
    <t>Not In Pension Scheme</t>
  </si>
  <si>
    <t>Spine Point</t>
  </si>
  <si>
    <t>Pension Scheme</t>
  </si>
  <si>
    <t>Employer NIC</t>
  </si>
  <si>
    <t>Employer pension contribution</t>
  </si>
  <si>
    <t>Apprenticeship Levy</t>
  </si>
  <si>
    <t xml:space="preserve">Total  </t>
  </si>
  <si>
    <t>USS</t>
  </si>
  <si>
    <t>H</t>
  </si>
  <si>
    <t>G</t>
  </si>
  <si>
    <t>F</t>
  </si>
  <si>
    <t>E</t>
  </si>
  <si>
    <t>ERSS</t>
  </si>
  <si>
    <t>D</t>
  </si>
  <si>
    <t>L9</t>
  </si>
  <si>
    <t>L8</t>
  </si>
  <si>
    <t>L7</t>
  </si>
  <si>
    <t>L6</t>
  </si>
  <si>
    <t>L5</t>
  </si>
  <si>
    <t>C</t>
  </si>
  <si>
    <t>L4</t>
  </si>
  <si>
    <t>L3</t>
  </si>
  <si>
    <t>L2</t>
  </si>
  <si>
    <t>L1</t>
  </si>
  <si>
    <t>B</t>
  </si>
  <si>
    <t xml:space="preserve">It should be noted that the above tables have been prepared on the assumption that Grade E staff within a pension scheme are members of USS. </t>
  </si>
  <si>
    <t>(Although new staff in Grade E will join USS some existing staff in Grade E elected to remain members of ERSS when the Framework Agreement was introduced.)</t>
  </si>
  <si>
    <t>The following table re-calculates for those in Grade E on the assumption that the staff are members of ERSS.</t>
  </si>
  <si>
    <t>New staff in Grade E will join USS.</t>
  </si>
  <si>
    <t>Salaries as at:</t>
  </si>
  <si>
    <t>NI Data Used as at:</t>
  </si>
  <si>
    <t>USS ER contribution</t>
  </si>
  <si>
    <t>ERSS ER contribution</t>
  </si>
  <si>
    <t>Per Week</t>
  </si>
  <si>
    <t>Per month</t>
  </si>
  <si>
    <t>Per Annum</t>
  </si>
  <si>
    <t>Lower Earnings Limit</t>
  </si>
  <si>
    <t>Secondary Earnings Threshold</t>
  </si>
  <si>
    <t>Upper Earnings Limit</t>
  </si>
  <si>
    <t>Rate for earnings above UAP</t>
  </si>
  <si>
    <t>For the latest rates see HMRC web:</t>
  </si>
  <si>
    <t>http://www.hmrc.gov.uk/rates/nic.htm</t>
  </si>
  <si>
    <t>Check calculations in the s/sheet at:</t>
  </si>
  <si>
    <t>http://nicecalculator.hmrc.gov.uk/Class1NICs1.aspx</t>
  </si>
  <si>
    <t>Please choose:</t>
  </si>
  <si>
    <t>Salary Costs Ready Reckoner</t>
  </si>
  <si>
    <t>Insert figures into the blue cells as appropriate</t>
  </si>
  <si>
    <t>Notes</t>
  </si>
  <si>
    <t>Not in</t>
  </si>
  <si>
    <t xml:space="preserve">* This calculator will give the figure for a whole year appointment. For an </t>
  </si>
  <si>
    <t xml:space="preserve">To estimate the costs for your proposal use the "Proposed costs" columns, </t>
  </si>
  <si>
    <t xml:space="preserve">appointment of less than 12 months, you should use the HMRC online </t>
  </si>
  <si>
    <t>managers in Campus Services should continue to use both columns.</t>
  </si>
  <si>
    <r>
      <rPr>
        <sz val="10"/>
        <rFont val="Arial"/>
        <family val="2"/>
      </rPr>
      <t xml:space="preserve">calculator at </t>
    </r>
    <r>
      <rPr>
        <u/>
        <sz val="10"/>
        <color rgb="FFFF0000"/>
        <rFont val="Arial"/>
        <family val="2"/>
      </rPr>
      <t>http://nicecalculator.hmrc.gov.uk/Class1NICs1.aspx</t>
    </r>
  </si>
  <si>
    <t xml:space="preserve">(select period of pay = monthly; enter monthly gross salary; select NI </t>
  </si>
  <si>
    <t>Current costs:</t>
  </si>
  <si>
    <t>Proposed costs:</t>
  </si>
  <si>
    <t>Input full time annual salary</t>
  </si>
  <si>
    <t>* This calculator does not take account of employer NIC savings arising</t>
  </si>
  <si>
    <t xml:space="preserve">Choose pension scheme </t>
  </si>
  <si>
    <t xml:space="preserve"> from Pension Salary Exchange (as the employee may opt-out of PSX).</t>
  </si>
  <si>
    <r>
      <rPr>
        <b/>
        <sz val="10"/>
        <rFont val="Arial"/>
        <family val="2"/>
      </rPr>
      <t>If term-time</t>
    </r>
    <r>
      <rPr>
        <sz val="10"/>
        <rFont val="Arial"/>
        <family val="2"/>
      </rPr>
      <t>:</t>
    </r>
  </si>
  <si>
    <t>Hours</t>
  </si>
  <si>
    <t xml:space="preserve">* This calculator does not take account of any increments which the </t>
  </si>
  <si>
    <t>Weeks</t>
  </si>
  <si>
    <t>employee may be entitled to on 1 August.</t>
  </si>
  <si>
    <t>Holiday %</t>
  </si>
  <si>
    <t xml:space="preserve">* For a forecast which includes increments over a longer period, use the </t>
  </si>
  <si>
    <r>
      <rPr>
        <b/>
        <sz val="10"/>
        <rFont val="Arial"/>
        <family val="2"/>
      </rPr>
      <t>If NOT term-time</t>
    </r>
    <r>
      <rPr>
        <sz val="10"/>
        <rFont val="Arial"/>
        <family val="2"/>
      </rPr>
      <t>, input hours:</t>
    </r>
  </si>
  <si>
    <t>Cognos BI tool or e-SR1.</t>
  </si>
  <si>
    <r>
      <t xml:space="preserve">FTE </t>
    </r>
    <r>
      <rPr>
        <b/>
        <sz val="10"/>
        <rFont val="Arial"/>
        <family val="2"/>
      </rPr>
      <t>(HIDE THIS LINE)</t>
    </r>
  </si>
  <si>
    <t>FTE</t>
  </si>
  <si>
    <t>Pro rata salary:</t>
  </si>
  <si>
    <t>Pensionable allowances, per annum (see notes below):</t>
  </si>
  <si>
    <t>Total pro rata pensionable salary:</t>
  </si>
  <si>
    <t>Salary</t>
  </si>
  <si>
    <t>Secondary Earning Threshold</t>
  </si>
  <si>
    <t>Niable pay</t>
  </si>
  <si>
    <t>NI</t>
  </si>
  <si>
    <t>Employer's NIC</t>
  </si>
  <si>
    <t>Employer's Pension Contribution</t>
  </si>
  <si>
    <t>Total cost</t>
  </si>
  <si>
    <t>Effect of proposal:</t>
  </si>
  <si>
    <t>Pensionable allowances:</t>
  </si>
  <si>
    <t>Name:</t>
  </si>
  <si>
    <t>Shift Alllowance</t>
  </si>
  <si>
    <t>Payment:</t>
  </si>
  <si>
    <t>Uplifted annually in line with JNCHES general uplift</t>
  </si>
  <si>
    <t xml:space="preserve">From Aug-24: </t>
  </si>
  <si>
    <t>per annum</t>
  </si>
  <si>
    <t>Costs for posts using FTE shown above:</t>
  </si>
  <si>
    <t>Split Shift Allowance</t>
  </si>
  <si>
    <t>12p per hour per day on split</t>
  </si>
  <si>
    <t>Rate:</t>
  </si>
  <si>
    <t>Number of hours per week on split</t>
  </si>
  <si>
    <t>per week</t>
  </si>
  <si>
    <t>Number of weeks</t>
  </si>
  <si>
    <t>weeks</t>
  </si>
  <si>
    <t>total hours</t>
  </si>
  <si>
    <t>Costs for posts:</t>
  </si>
  <si>
    <t>Night Allowance</t>
  </si>
  <si>
    <t>1/3 of salary for hours worked between 10pm-6am</t>
  </si>
  <si>
    <t>NHS ER contribution</t>
  </si>
  <si>
    <t>Calculator</t>
  </si>
  <si>
    <t>Category = A).</t>
  </si>
  <si>
    <t>Number of hours worked between 10pm - 6am</t>
  </si>
  <si>
    <t>NI rates effective from April 2025</t>
  </si>
  <si>
    <t>NI Limits 2025/26:</t>
  </si>
  <si>
    <t>Salary from 1 Aug 2025</t>
  </si>
  <si>
    <t>Salary from 1 Nov 2025</t>
  </si>
  <si>
    <t>Pay rates effective from 1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</si>
</sst>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&quot;£&quot;#,##0.00"/>
    <numFmt numFmtId="167" formatCode="&quot;£&quot;#,##0"/>
    <numFmt numFmtId="168" formatCode="0.000000"/>
    <numFmt numFmtId="169" formatCode="_-&quot;£&quot;* #,##0_-;\-&quot;£&quot;* #,##0_-;_-&quot;£&quot;* &quot;-&quot;??_-;_-@_-"/>
    <numFmt numFmtId="170" formatCode="_-[$£-809]* #,##0_-;\-[$£-809]* #,##0_-;_-[$£-809]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9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 textRotation="180" wrapText="1"/>
    </xf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9" fillId="0" borderId="0" xfId="0" applyFont="1"/>
    <xf numFmtId="49" fontId="10" fillId="0" borderId="0" xfId="0" applyNumberFormat="1" applyFont="1"/>
    <xf numFmtId="49" fontId="7" fillId="0" borderId="0" xfId="0" applyNumberFormat="1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18" xfId="0" applyBorder="1"/>
    <xf numFmtId="0" fontId="3" fillId="0" borderId="18" xfId="0" applyFont="1" applyBorder="1"/>
    <xf numFmtId="0" fontId="0" fillId="0" borderId="19" xfId="0" applyBorder="1"/>
    <xf numFmtId="0" fontId="0" fillId="0" borderId="21" xfId="0" applyBorder="1"/>
    <xf numFmtId="0" fontId="1" fillId="0" borderId="21" xfId="0" applyFont="1" applyBorder="1"/>
    <xf numFmtId="0" fontId="0" fillId="0" borderId="3" xfId="0" applyBorder="1"/>
    <xf numFmtId="0" fontId="0" fillId="0" borderId="20" xfId="0" applyBorder="1"/>
    <xf numFmtId="167" fontId="0" fillId="0" borderId="0" xfId="0" applyNumberFormat="1"/>
    <xf numFmtId="0" fontId="0" fillId="0" borderId="0" xfId="0" applyAlignment="1">
      <alignment horizontal="left"/>
    </xf>
    <xf numFmtId="0" fontId="0" fillId="7" borderId="0" xfId="0" applyFill="1"/>
    <xf numFmtId="0" fontId="3" fillId="0" borderId="0" xfId="0" applyFont="1" applyAlignment="1">
      <alignment horizontal="left"/>
    </xf>
    <xf numFmtId="0" fontId="0" fillId="0" borderId="12" xfId="0" applyBorder="1"/>
    <xf numFmtId="0" fontId="1" fillId="0" borderId="18" xfId="0" applyFont="1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10" fillId="0" borderId="0" xfId="0" applyFont="1"/>
    <xf numFmtId="0" fontId="13" fillId="0" borderId="0" xfId="3" applyAlignment="1" applyProtection="1"/>
    <xf numFmtId="0" fontId="11" fillId="0" borderId="0" xfId="0" applyFont="1"/>
    <xf numFmtId="0" fontId="1" fillId="7" borderId="0" xfId="0" applyFont="1" applyFill="1"/>
    <xf numFmtId="0" fontId="6" fillId="0" borderId="12" xfId="0" applyFont="1" applyBorder="1"/>
    <xf numFmtId="0" fontId="1" fillId="4" borderId="13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13" xfId="0" applyFont="1" applyBorder="1"/>
    <xf numFmtId="0" fontId="14" fillId="4" borderId="13" xfId="3" applyFont="1" applyFill="1" applyBorder="1" applyAlignment="1" applyProtection="1">
      <alignment horizontal="left"/>
    </xf>
    <xf numFmtId="0" fontId="1" fillId="4" borderId="13" xfId="3" applyFont="1" applyFill="1" applyBorder="1" applyAlignment="1" applyProtection="1">
      <alignment horizontal="left"/>
    </xf>
    <xf numFmtId="0" fontId="0" fillId="8" borderId="0" xfId="0" applyFill="1"/>
    <xf numFmtId="0" fontId="0" fillId="8" borderId="0" xfId="0" applyFill="1" applyAlignment="1">
      <alignment horizontal="left"/>
    </xf>
    <xf numFmtId="0" fontId="3" fillId="8" borderId="0" xfId="0" applyFont="1" applyFill="1"/>
    <xf numFmtId="0" fontId="0" fillId="0" borderId="0" xfId="0" applyAlignment="1">
      <alignment horizontal="center"/>
    </xf>
    <xf numFmtId="168" fontId="0" fillId="0" borderId="0" xfId="0" applyNumberFormat="1"/>
    <xf numFmtId="0" fontId="0" fillId="9" borderId="0" xfId="0" applyFill="1"/>
    <xf numFmtId="0" fontId="1" fillId="9" borderId="0" xfId="0" applyFont="1" applyFill="1"/>
    <xf numFmtId="168" fontId="0" fillId="9" borderId="0" xfId="0" applyNumberFormat="1" applyFill="1"/>
    <xf numFmtId="0" fontId="1" fillId="0" borderId="0" xfId="0" quotePrefix="1" applyFont="1"/>
    <xf numFmtId="0" fontId="15" fillId="0" borderId="0" xfId="0" applyFont="1"/>
    <xf numFmtId="165" fontId="1" fillId="0" borderId="0" xfId="1" applyNumberFormat="1" applyFont="1" applyBorder="1" applyAlignment="1">
      <alignment horizontal="center" wrapText="1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10" borderId="17" xfId="0" applyFont="1" applyFill="1" applyBorder="1"/>
    <xf numFmtId="0" fontId="1" fillId="10" borderId="1" xfId="0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 vertical="center" textRotation="180" wrapText="1"/>
    </xf>
    <xf numFmtId="0" fontId="4" fillId="1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1" fillId="0" borderId="0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10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1" fillId="0" borderId="0" xfId="0" applyNumberFormat="1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left"/>
    </xf>
    <xf numFmtId="15" fontId="1" fillId="0" borderId="0" xfId="0" quotePrefix="1" applyNumberFormat="1" applyFont="1"/>
    <xf numFmtId="15" fontId="1" fillId="0" borderId="0" xfId="0" applyNumberFormat="1" applyFont="1"/>
    <xf numFmtId="15" fontId="1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3" borderId="1" xfId="1" applyNumberFormat="1" applyFont="1" applyFill="1" applyBorder="1" applyProtection="1"/>
    <xf numFmtId="10" fontId="1" fillId="3" borderId="1" xfId="4" applyNumberFormat="1" applyFont="1" applyFill="1" applyBorder="1"/>
    <xf numFmtId="164" fontId="1" fillId="9" borderId="1" xfId="0" applyNumberFormat="1" applyFont="1" applyFill="1" applyBorder="1"/>
    <xf numFmtId="169" fontId="1" fillId="0" borderId="1" xfId="0" applyNumberFormat="1" applyFont="1" applyBorder="1"/>
    <xf numFmtId="0" fontId="1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wrapText="1"/>
    </xf>
    <xf numFmtId="169" fontId="0" fillId="0" borderId="0" xfId="0" applyNumberFormat="1" applyAlignment="1">
      <alignment horizontal="right"/>
    </xf>
    <xf numFmtId="169" fontId="3" fillId="0" borderId="1" xfId="1" applyNumberFormat="1" applyFont="1" applyFill="1" applyBorder="1" applyAlignment="1">
      <alignment horizontal="center" wrapText="1"/>
    </xf>
    <xf numFmtId="169" fontId="1" fillId="0" borderId="0" xfId="1" applyNumberFormat="1" applyFont="1" applyBorder="1" applyAlignment="1">
      <alignment horizontal="center" wrapText="1"/>
    </xf>
    <xf numFmtId="169" fontId="16" fillId="0" borderId="0" xfId="1" applyNumberFormat="1" applyFont="1" applyFill="1" applyBorder="1"/>
    <xf numFmtId="169" fontId="0" fillId="0" borderId="0" xfId="2" applyNumberFormat="1" applyFont="1" applyFill="1" applyBorder="1"/>
    <xf numFmtId="169" fontId="1" fillId="0" borderId="0" xfId="1" applyNumberFormat="1" applyFont="1" applyFill="1" applyBorder="1" applyAlignment="1">
      <alignment horizontal="center" wrapText="1"/>
    </xf>
    <xf numFmtId="169" fontId="3" fillId="0" borderId="0" xfId="1" applyNumberFormat="1" applyFont="1" applyFill="1" applyBorder="1" applyAlignment="1">
      <alignment horizontal="center" wrapText="1"/>
    </xf>
    <xf numFmtId="169" fontId="16" fillId="0" borderId="0" xfId="1" applyNumberFormat="1" applyFont="1" applyBorder="1"/>
    <xf numFmtId="169" fontId="1" fillId="0" borderId="0" xfId="1" applyNumberFormat="1" applyFont="1" applyBorder="1" applyAlignment="1">
      <alignment horizontal="center"/>
    </xf>
    <xf numFmtId="169" fontId="3" fillId="0" borderId="0" xfId="1" applyNumberFormat="1" applyFont="1" applyBorder="1" applyAlignment="1">
      <alignment horizontal="center" wrapText="1"/>
    </xf>
    <xf numFmtId="6" fontId="17" fillId="0" borderId="0" xfId="0" applyNumberFormat="1" applyFont="1"/>
    <xf numFmtId="9" fontId="3" fillId="0" borderId="0" xfId="0" applyNumberFormat="1" applyFont="1" applyAlignment="1">
      <alignment horizontal="left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165" fontId="1" fillId="0" borderId="25" xfId="1" applyNumberFormat="1" applyFont="1" applyBorder="1" applyAlignment="1">
      <alignment horizontal="center" wrapText="1"/>
    </xf>
    <xf numFmtId="170" fontId="0" fillId="0" borderId="1" xfId="2" applyNumberFormat="1" applyFont="1" applyFill="1" applyBorder="1"/>
    <xf numFmtId="170" fontId="1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>
      <alignment horizontal="center" wrapText="1"/>
    </xf>
    <xf numFmtId="165" fontId="3" fillId="0" borderId="0" xfId="1" applyNumberFormat="1" applyFont="1" applyFill="1" applyBorder="1" applyAlignment="1">
      <alignment horizontal="center" wrapText="1"/>
    </xf>
    <xf numFmtId="10" fontId="1" fillId="3" borderId="1" xfId="0" applyNumberFormat="1" applyFont="1" applyFill="1" applyBorder="1"/>
    <xf numFmtId="10" fontId="1" fillId="0" borderId="0" xfId="0" applyNumberFormat="1" applyFont="1"/>
    <xf numFmtId="169" fontId="1" fillId="0" borderId="2" xfId="0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5" borderId="0" xfId="0" applyFont="1" applyFill="1" applyAlignment="1">
      <alignment horizontal="left" vertical="distributed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44" fontId="3" fillId="0" borderId="12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3" fillId="0" borderId="19" xfId="2" applyFont="1" applyFill="1" applyBorder="1" applyAlignment="1">
      <alignment horizontal="center"/>
    </xf>
    <xf numFmtId="44" fontId="0" fillId="8" borderId="1" xfId="2" applyFont="1" applyFill="1" applyBorder="1" applyAlignment="1">
      <alignment horizontal="center"/>
    </xf>
    <xf numFmtId="44" fontId="3" fillId="0" borderId="1" xfId="2" applyFont="1" applyFill="1" applyBorder="1" applyAlignment="1" applyProtection="1">
      <alignment horizontal="center"/>
      <protection locked="0"/>
    </xf>
    <xf numFmtId="44" fontId="3" fillId="0" borderId="1" xfId="2" applyFont="1" applyFill="1" applyBorder="1" applyAlignment="1">
      <alignment horizontal="center"/>
    </xf>
    <xf numFmtId="164" fontId="0" fillId="0" borderId="15" xfId="4" applyNumberFormat="1" applyFont="1" applyBorder="1" applyAlignment="1">
      <alignment horizontal="center"/>
    </xf>
    <xf numFmtId="164" fontId="0" fillId="0" borderId="17" xfId="4" applyNumberFormat="1" applyFont="1" applyBorder="1" applyAlignment="1">
      <alignment horizontal="center"/>
    </xf>
    <xf numFmtId="44" fontId="0" fillId="8" borderId="15" xfId="2" applyFont="1" applyFill="1" applyBorder="1" applyAlignment="1">
      <alignment horizontal="center"/>
    </xf>
    <xf numFmtId="44" fontId="0" fillId="8" borderId="16" xfId="2" applyFont="1" applyFill="1" applyBorder="1" applyAlignment="1">
      <alignment horizontal="center"/>
    </xf>
    <xf numFmtId="44" fontId="0" fillId="8" borderId="17" xfId="2" applyFont="1" applyFill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4" fontId="3" fillId="0" borderId="22" xfId="2" applyFont="1" applyFill="1" applyBorder="1" applyAlignment="1">
      <alignment horizontal="center"/>
    </xf>
    <xf numFmtId="44" fontId="3" fillId="0" borderId="23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0" fontId="6" fillId="8" borderId="0" xfId="0" applyFont="1" applyFill="1" applyAlignment="1">
      <alignment vertical="top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wrapText="1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0" borderId="16" xfId="0" applyNumberFormat="1" applyBorder="1" applyAlignment="1">
      <alignment horizontal="center"/>
    </xf>
    <xf numFmtId="6" fontId="0" fillId="0" borderId="17" xfId="0" applyNumberForma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8" fontId="0" fillId="0" borderId="17" xfId="0" applyNumberForma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4" fontId="1" fillId="6" borderId="1" xfId="2" applyFont="1" applyFill="1" applyBorder="1" applyAlignment="1" applyProtection="1">
      <alignment horizontal="center"/>
      <protection locked="0"/>
    </xf>
    <xf numFmtId="44" fontId="1" fillId="6" borderId="15" xfId="2" applyFont="1" applyFill="1" applyBorder="1" applyAlignment="1" applyProtection="1">
      <alignment horizontal="center"/>
      <protection locked="0"/>
    </xf>
    <xf numFmtId="44" fontId="1" fillId="6" borderId="16" xfId="2" applyFont="1" applyFill="1" applyBorder="1" applyAlignment="1" applyProtection="1">
      <alignment horizontal="center"/>
      <protection locked="0"/>
    </xf>
    <xf numFmtId="44" fontId="1" fillId="6" borderId="17" xfId="2" applyFont="1" applyFill="1" applyBorder="1" applyAlignment="1" applyProtection="1">
      <alignment horizontal="center"/>
      <protection locked="0"/>
    </xf>
    <xf numFmtId="44" fontId="1" fillId="0" borderId="15" xfId="2" applyFont="1" applyFill="1" applyBorder="1" applyAlignment="1">
      <alignment horizontal="center"/>
    </xf>
    <xf numFmtId="44" fontId="1" fillId="0" borderId="16" xfId="2" applyFont="1" applyFill="1" applyBorder="1" applyAlignment="1">
      <alignment horizontal="center"/>
    </xf>
    <xf numFmtId="44" fontId="1" fillId="0" borderId="17" xfId="2" applyFont="1" applyFill="1" applyBorder="1" applyAlignment="1">
      <alignment horizontal="center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2" fontId="0" fillId="6" borderId="15" xfId="0" applyNumberFormat="1" applyFill="1" applyBorder="1" applyAlignment="1" applyProtection="1">
      <alignment horizontal="center"/>
      <protection locked="0"/>
    </xf>
    <xf numFmtId="2" fontId="0" fillId="6" borderId="16" xfId="0" applyNumberFormat="1" applyFill="1" applyBorder="1" applyAlignment="1" applyProtection="1">
      <alignment horizontal="center"/>
      <protection locked="0"/>
    </xf>
    <xf numFmtId="2" fontId="0" fillId="6" borderId="17" xfId="0" applyNumberFormat="1" applyFill="1" applyBorder="1" applyAlignment="1" applyProtection="1">
      <alignment horizontal="center"/>
      <protection locked="0"/>
    </xf>
    <xf numFmtId="2" fontId="0" fillId="9" borderId="12" xfId="0" applyNumberFormat="1" applyFill="1" applyBorder="1" applyAlignment="1" applyProtection="1">
      <alignment horizontal="center"/>
      <protection locked="0"/>
    </xf>
    <xf numFmtId="2" fontId="0" fillId="9" borderId="18" xfId="0" applyNumberFormat="1" applyFill="1" applyBorder="1" applyAlignment="1" applyProtection="1">
      <alignment horizontal="center"/>
      <protection locked="0"/>
    </xf>
    <xf numFmtId="2" fontId="0" fillId="9" borderId="19" xfId="0" applyNumberFormat="1" applyFill="1" applyBorder="1" applyAlignment="1" applyProtection="1">
      <alignment horizontal="center"/>
      <protection locked="0"/>
    </xf>
    <xf numFmtId="2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7" fontId="0" fillId="6" borderId="15" xfId="0" applyNumberFormat="1" applyFill="1" applyBorder="1" applyAlignment="1" applyProtection="1">
      <alignment horizontal="center"/>
      <protection locked="0"/>
    </xf>
    <xf numFmtId="167" fontId="0" fillId="6" borderId="16" xfId="0" applyNumberFormat="1" applyFill="1" applyBorder="1" applyAlignment="1" applyProtection="1">
      <alignment horizontal="center"/>
      <protection locked="0"/>
    </xf>
    <xf numFmtId="167" fontId="0" fillId="6" borderId="17" xfId="0" applyNumberFormat="1" applyFill="1" applyBorder="1" applyAlignment="1" applyProtection="1">
      <alignment horizontal="center"/>
      <protection locked="0"/>
    </xf>
    <xf numFmtId="9" fontId="0" fillId="6" borderId="15" xfId="4" applyFont="1" applyFill="1" applyBorder="1" applyAlignment="1" applyProtection="1">
      <alignment horizontal="center"/>
      <protection locked="0"/>
    </xf>
    <xf numFmtId="9" fontId="0" fillId="6" borderId="16" xfId="4" applyFont="1" applyFill="1" applyBorder="1" applyAlignment="1" applyProtection="1">
      <alignment horizontal="center"/>
      <protection locked="0"/>
    </xf>
    <xf numFmtId="9" fontId="0" fillId="6" borderId="17" xfId="4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 wrapText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1</xdr:row>
      <xdr:rowOff>38100</xdr:rowOff>
    </xdr:from>
    <xdr:to>
      <xdr:col>11</xdr:col>
      <xdr:colOff>196851</xdr:colOff>
      <xdr:row>7</xdr:row>
      <xdr:rowOff>16847</xdr:rowOff>
    </xdr:to>
    <xdr:pic>
      <xdr:nvPicPr>
        <xdr:cNvPr id="2" name="Picture 1" descr="colour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1" y="200025"/>
          <a:ext cx="2381250" cy="978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johnson\Local%20Settings\Temporary%20Internet%20Files\Content.Outlook\E42203LR\Costs%20calcula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xeter.ac.uk/media/universityofexeter/humanresources/documents/payroll/Salary%20costs%20ready%20reckoner%20Sep09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y Reckoner"/>
      <sheetName val="Working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mrc.gov.uk/rates/nic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nicecalculator.hmrc.gov.uk/Class1NICs1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zoomScale="80" workbookViewId="0">
      <selection activeCell="T34" sqref="T34"/>
    </sheetView>
  </sheetViews>
  <sheetFormatPr defaultRowHeight="12.5" x14ac:dyDescent="0.25"/>
  <cols>
    <col min="1" max="3" width="8.1796875" customWidth="1"/>
    <col min="4" max="4" width="2.7265625" customWidth="1"/>
    <col min="5" max="5" width="13.6328125" customWidth="1"/>
    <col min="6" max="6" width="2.7265625" customWidth="1"/>
    <col min="7" max="7" width="8.1796875" customWidth="1"/>
    <col min="8" max="8" width="2.7265625" customWidth="1"/>
    <col min="9" max="12" width="13.6328125" customWidth="1"/>
    <col min="13" max="13" width="2.7265625" customWidth="1"/>
    <col min="14" max="16" width="13.6328125" customWidth="1"/>
    <col min="17" max="17" width="2.7265625" customWidth="1"/>
  </cols>
  <sheetData>
    <row r="1" spans="1:17" ht="15.5" x14ac:dyDescent="0.35">
      <c r="A1" s="18" t="s">
        <v>0</v>
      </c>
      <c r="B1" s="20"/>
      <c r="C1" s="20"/>
      <c r="D1" s="76"/>
      <c r="E1" s="20"/>
      <c r="F1" s="20"/>
      <c r="G1" s="20"/>
      <c r="H1" s="20"/>
      <c r="I1" s="20"/>
      <c r="J1" s="20"/>
      <c r="K1" s="20"/>
      <c r="L1" s="85"/>
      <c r="M1" s="63" t="s">
        <v>1</v>
      </c>
      <c r="P1" s="102"/>
      <c r="Q1" s="20"/>
    </row>
    <row r="2" spans="1:17" ht="14.5" x14ac:dyDescent="0.35">
      <c r="A2" s="17" t="s">
        <v>116</v>
      </c>
      <c r="B2" s="20"/>
      <c r="C2" s="20"/>
      <c r="D2" s="76"/>
      <c r="E2" s="20"/>
      <c r="F2" s="20"/>
      <c r="G2" s="20"/>
      <c r="H2" s="20"/>
      <c r="I2" s="20"/>
      <c r="J2" s="20"/>
      <c r="K2" s="20"/>
      <c r="L2" s="69"/>
      <c r="M2" s="63" t="s">
        <v>2</v>
      </c>
      <c r="P2" s="102"/>
      <c r="Q2" s="20"/>
    </row>
    <row r="3" spans="1:17" ht="15" customHeight="1" x14ac:dyDescent="0.5">
      <c r="A3" s="17" t="s">
        <v>112</v>
      </c>
      <c r="B3" s="20"/>
      <c r="C3" s="20"/>
      <c r="D3" s="76"/>
      <c r="E3" s="20"/>
      <c r="F3" s="20"/>
      <c r="G3" s="20"/>
      <c r="H3" s="20"/>
      <c r="I3" s="20"/>
      <c r="J3" s="14"/>
      <c r="K3" s="14"/>
      <c r="L3" s="20"/>
      <c r="M3" s="20"/>
      <c r="N3" s="20"/>
      <c r="O3" s="20"/>
      <c r="P3" s="9"/>
    </row>
    <row r="4" spans="1:17" ht="15" customHeight="1" x14ac:dyDescent="0.3">
      <c r="A4" s="17" t="s">
        <v>3</v>
      </c>
      <c r="B4" s="20"/>
      <c r="C4" s="20"/>
      <c r="D4" s="76"/>
      <c r="E4" s="20"/>
      <c r="F4" s="20"/>
      <c r="G4" s="20"/>
      <c r="H4" s="20"/>
      <c r="I4" s="20"/>
      <c r="L4" s="20"/>
      <c r="M4" s="20"/>
      <c r="N4" s="64"/>
      <c r="O4" s="64"/>
      <c r="P4" s="64"/>
      <c r="Q4" s="64"/>
    </row>
    <row r="5" spans="1:17" ht="15" customHeight="1" x14ac:dyDescent="0.25">
      <c r="A5" s="134" t="s">
        <v>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7" ht="13" x14ac:dyDescent="0.3">
      <c r="A6" s="9"/>
      <c r="B6" s="20"/>
      <c r="C6" s="20"/>
      <c r="D6" s="76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9"/>
    </row>
    <row r="7" spans="1:17" ht="35.25" customHeight="1" x14ac:dyDescent="0.3">
      <c r="A7" s="76"/>
      <c r="B7" s="20"/>
      <c r="C7" s="20"/>
      <c r="D7" s="76"/>
      <c r="E7" s="103"/>
      <c r="F7" s="11"/>
      <c r="G7" s="135" t="s">
        <v>5</v>
      </c>
      <c r="H7" s="136"/>
      <c r="I7" s="136"/>
      <c r="J7" s="136"/>
      <c r="K7" s="136"/>
      <c r="L7" s="137"/>
      <c r="M7" s="11"/>
      <c r="N7" s="135" t="s">
        <v>6</v>
      </c>
      <c r="O7" s="136"/>
      <c r="P7" s="137"/>
    </row>
    <row r="8" spans="1:17" ht="45" customHeight="1" x14ac:dyDescent="0.3">
      <c r="A8" s="78" t="s">
        <v>7</v>
      </c>
      <c r="B8" s="104"/>
      <c r="C8" s="20"/>
      <c r="D8" s="76"/>
      <c r="E8" s="84" t="s">
        <v>114</v>
      </c>
      <c r="F8" s="13"/>
      <c r="G8" s="79" t="s">
        <v>8</v>
      </c>
      <c r="H8" s="13"/>
      <c r="I8" s="87" t="s">
        <v>9</v>
      </c>
      <c r="J8" s="79" t="s">
        <v>10</v>
      </c>
      <c r="K8" s="67" t="s">
        <v>11</v>
      </c>
      <c r="L8" s="105" t="s">
        <v>12</v>
      </c>
      <c r="M8" s="10"/>
      <c r="N8" s="67" t="s">
        <v>9</v>
      </c>
      <c r="O8" s="67" t="s">
        <v>11</v>
      </c>
      <c r="P8" s="106" t="s">
        <v>12</v>
      </c>
    </row>
    <row r="9" spans="1:17" ht="13" x14ac:dyDescent="0.3">
      <c r="A9" s="75">
        <v>71</v>
      </c>
      <c r="B9" s="69"/>
      <c r="C9" s="68"/>
      <c r="D9" s="4"/>
      <c r="E9" s="101">
        <v>129211</v>
      </c>
      <c r="F9" s="13"/>
      <c r="G9" s="88" t="s">
        <v>13</v>
      </c>
      <c r="H9" s="13"/>
      <c r="I9" s="124">
        <f>INT(E9-'Standing data'!$D$11)*'Standing data'!$D$13</f>
        <v>18631.649999999998</v>
      </c>
      <c r="J9" s="125">
        <f>INT(E9*'Standing data'!$B$4)</f>
        <v>18735</v>
      </c>
      <c r="K9" s="124">
        <f>INT(E9*'Standing data'!$B$19)</f>
        <v>646</v>
      </c>
      <c r="L9" s="107">
        <f>E9+I9+J9+K9</f>
        <v>167223.65</v>
      </c>
      <c r="M9" s="108"/>
      <c r="N9" s="124">
        <f>INT(E9-'Standing data'!$D$11)*'Standing data'!$D$13</f>
        <v>18631.649999999998</v>
      </c>
      <c r="O9" s="124">
        <f>INT(E9*'Standing data'!$B$19)</f>
        <v>646</v>
      </c>
      <c r="P9" s="109">
        <f>E9+N9+O9</f>
        <v>148488.65</v>
      </c>
    </row>
    <row r="10" spans="1:17" ht="13" x14ac:dyDescent="0.3">
      <c r="A10" s="75">
        <v>70</v>
      </c>
      <c r="B10" s="69"/>
      <c r="C10" s="68"/>
      <c r="D10" s="4"/>
      <c r="E10" s="130">
        <v>125448</v>
      </c>
      <c r="F10" s="13"/>
      <c r="G10" s="88" t="s">
        <v>13</v>
      </c>
      <c r="H10" s="13"/>
      <c r="I10" s="124">
        <f>INT(E10-'Standing data'!$D$11)*'Standing data'!$D$13</f>
        <v>18067.2</v>
      </c>
      <c r="J10" s="125">
        <f>INT(E10*'Standing data'!$B$4)</f>
        <v>18189</v>
      </c>
      <c r="K10" s="124">
        <f>INT(E10*'Standing data'!$B$19)</f>
        <v>627</v>
      </c>
      <c r="L10" s="107">
        <f t="shared" ref="L10:L46" si="0">E10+I10+J10+K10</f>
        <v>162331.20000000001</v>
      </c>
      <c r="M10" s="108"/>
      <c r="N10" s="124">
        <f>INT(E10-'Standing data'!$D$11)*'Standing data'!$D$13</f>
        <v>18067.2</v>
      </c>
      <c r="O10" s="124">
        <f>INT(E10*'Standing data'!$B$19)</f>
        <v>627</v>
      </c>
      <c r="P10" s="109">
        <f t="shared" ref="P10:P71" si="1">E10+N10+O10</f>
        <v>144142.20000000001</v>
      </c>
    </row>
    <row r="11" spans="1:17" ht="13" x14ac:dyDescent="0.3">
      <c r="A11" s="75">
        <v>69</v>
      </c>
      <c r="B11" s="69"/>
      <c r="C11" s="68"/>
      <c r="D11" s="4"/>
      <c r="E11" s="130">
        <v>121795</v>
      </c>
      <c r="F11" s="13"/>
      <c r="G11" s="88" t="s">
        <v>13</v>
      </c>
      <c r="H11" s="13"/>
      <c r="I11" s="124">
        <f>INT(E11-'Standing data'!$D$11)*'Standing data'!$D$13</f>
        <v>17519.25</v>
      </c>
      <c r="J11" s="125">
        <f>INT(E11*'Standing data'!$B$4)</f>
        <v>17660</v>
      </c>
      <c r="K11" s="124">
        <f>INT(E11*'Standing data'!$B$19)</f>
        <v>608</v>
      </c>
      <c r="L11" s="107">
        <f t="shared" si="0"/>
        <v>157582.25</v>
      </c>
      <c r="M11" s="108"/>
      <c r="N11" s="124">
        <f>INT(E11-'Standing data'!$D$11)*'Standing data'!$D$13</f>
        <v>17519.25</v>
      </c>
      <c r="O11" s="124">
        <f>INT(E11*'Standing data'!$B$19)</f>
        <v>608</v>
      </c>
      <c r="P11" s="109">
        <f t="shared" si="1"/>
        <v>139922.25</v>
      </c>
    </row>
    <row r="12" spans="1:17" ht="13" x14ac:dyDescent="0.3">
      <c r="A12" s="75">
        <v>68</v>
      </c>
      <c r="B12" s="20"/>
      <c r="C12" s="69"/>
      <c r="D12" s="4"/>
      <c r="E12" s="130">
        <v>118248</v>
      </c>
      <c r="F12" s="13"/>
      <c r="G12" s="88" t="s">
        <v>13</v>
      </c>
      <c r="H12" s="13"/>
      <c r="I12" s="124">
        <f>INT(E12-'Standing data'!$D$11)*'Standing data'!$D$13</f>
        <v>16987.2</v>
      </c>
      <c r="J12" s="125">
        <f>INT(E12*'Standing data'!$B$4)</f>
        <v>17145</v>
      </c>
      <c r="K12" s="124">
        <f>INT(E12*'Standing data'!$B$19)</f>
        <v>591</v>
      </c>
      <c r="L12" s="107">
        <f t="shared" si="0"/>
        <v>152971.20000000001</v>
      </c>
      <c r="M12" s="108"/>
      <c r="N12" s="124">
        <f>INT(E12-'Standing data'!$D$11)*'Standing data'!$D$13</f>
        <v>16987.2</v>
      </c>
      <c r="O12" s="124">
        <f>INT(E12*'Standing data'!$B$19)</f>
        <v>591</v>
      </c>
      <c r="P12" s="109">
        <f t="shared" si="1"/>
        <v>135826.20000000001</v>
      </c>
    </row>
    <row r="13" spans="1:17" ht="13" x14ac:dyDescent="0.3">
      <c r="A13" s="75">
        <v>67</v>
      </c>
      <c r="B13" s="20"/>
      <c r="C13" s="69"/>
      <c r="D13" s="4"/>
      <c r="E13" s="130">
        <v>114801</v>
      </c>
      <c r="F13" s="13"/>
      <c r="G13" s="88" t="s">
        <v>13</v>
      </c>
      <c r="H13" s="13"/>
      <c r="I13" s="124">
        <f>INT(E13-'Standing data'!$D$11)*'Standing data'!$D$13</f>
        <v>16470.149999999998</v>
      </c>
      <c r="J13" s="125">
        <f>INT(E13*'Standing data'!$B$4)</f>
        <v>16646</v>
      </c>
      <c r="K13" s="124">
        <f>INT(E13*'Standing data'!$B$19)</f>
        <v>574</v>
      </c>
      <c r="L13" s="107">
        <f t="shared" si="0"/>
        <v>148491.15</v>
      </c>
      <c r="M13" s="108"/>
      <c r="N13" s="124">
        <f>INT(E13-'Standing data'!$D$11)*'Standing data'!$D$13</f>
        <v>16470.149999999998</v>
      </c>
      <c r="O13" s="124">
        <f>INT(E13*'Standing data'!$B$19)</f>
        <v>574</v>
      </c>
      <c r="P13" s="109">
        <f t="shared" si="1"/>
        <v>131845.15</v>
      </c>
    </row>
    <row r="14" spans="1:17" ht="13" x14ac:dyDescent="0.3">
      <c r="A14" s="75">
        <v>66</v>
      </c>
      <c r="B14" s="20"/>
      <c r="C14" s="69"/>
      <c r="D14" s="4"/>
      <c r="E14" s="130">
        <v>111459</v>
      </c>
      <c r="F14" s="13"/>
      <c r="G14" s="88" t="s">
        <v>13</v>
      </c>
      <c r="H14" s="13"/>
      <c r="I14" s="124">
        <f>INT(E14-'Standing data'!$D$11)*'Standing data'!$D$13</f>
        <v>15968.849999999999</v>
      </c>
      <c r="J14" s="125">
        <f>INT(E14*'Standing data'!$B$4)</f>
        <v>16161</v>
      </c>
      <c r="K14" s="124">
        <f>INT(E14*'Standing data'!$B$19)</f>
        <v>557</v>
      </c>
      <c r="L14" s="107">
        <f t="shared" si="0"/>
        <v>144145.85</v>
      </c>
      <c r="M14" s="108"/>
      <c r="N14" s="124">
        <f>INT(E14-'Standing data'!$D$11)*'Standing data'!$D$13</f>
        <v>15968.849999999999</v>
      </c>
      <c r="O14" s="124">
        <f>INT(E14*'Standing data'!$B$19)</f>
        <v>557</v>
      </c>
      <c r="P14" s="109">
        <f t="shared" si="1"/>
        <v>127984.85</v>
      </c>
    </row>
    <row r="15" spans="1:17" ht="13" x14ac:dyDescent="0.3">
      <c r="A15" s="75">
        <v>65</v>
      </c>
      <c r="B15" s="20"/>
      <c r="C15" s="69"/>
      <c r="D15" s="4"/>
      <c r="E15" s="130">
        <v>108214</v>
      </c>
      <c r="F15" s="13"/>
      <c r="G15" s="88" t="s">
        <v>13</v>
      </c>
      <c r="H15" s="13"/>
      <c r="I15" s="124">
        <f>INT(E15-'Standing data'!$D$11)*'Standing data'!$D$13</f>
        <v>15482.099999999999</v>
      </c>
      <c r="J15" s="125">
        <f>INT(E15*'Standing data'!$B$4)</f>
        <v>15691</v>
      </c>
      <c r="K15" s="124">
        <f>INT(E15*'Standing data'!$B$19)</f>
        <v>541</v>
      </c>
      <c r="L15" s="107">
        <f t="shared" si="0"/>
        <v>139928.1</v>
      </c>
      <c r="M15" s="108"/>
      <c r="N15" s="124">
        <f>INT(E15-'Standing data'!$D$11)*'Standing data'!$D$13</f>
        <v>15482.099999999999</v>
      </c>
      <c r="O15" s="124">
        <f>INT(E15*'Standing data'!$B$19)</f>
        <v>541</v>
      </c>
      <c r="P15" s="109">
        <f t="shared" si="1"/>
        <v>124237.1</v>
      </c>
    </row>
    <row r="16" spans="1:17" ht="13" x14ac:dyDescent="0.3">
      <c r="A16" s="75">
        <v>64</v>
      </c>
      <c r="B16" s="20"/>
      <c r="C16" s="69"/>
      <c r="D16" s="4"/>
      <c r="E16" s="130">
        <v>105062</v>
      </c>
      <c r="F16" s="13"/>
      <c r="G16" s="88" t="s">
        <v>13</v>
      </c>
      <c r="H16" s="13"/>
      <c r="I16" s="124">
        <f>INT(E16-'Standing data'!$D$11)*'Standing data'!$D$13</f>
        <v>15009.3</v>
      </c>
      <c r="J16" s="125">
        <f>INT(E16*'Standing data'!$B$4)</f>
        <v>15233</v>
      </c>
      <c r="K16" s="124">
        <f>INT(E16*'Standing data'!$B$19)</f>
        <v>525</v>
      </c>
      <c r="L16" s="107">
        <f t="shared" si="0"/>
        <v>135829.29999999999</v>
      </c>
      <c r="M16" s="108"/>
      <c r="N16" s="124">
        <f>INT(E16-'Standing data'!$D$11)*'Standing data'!$D$13</f>
        <v>15009.3</v>
      </c>
      <c r="O16" s="124">
        <f>INT(E16*'Standing data'!$B$19)</f>
        <v>525</v>
      </c>
      <c r="P16" s="109">
        <f t="shared" si="1"/>
        <v>120596.3</v>
      </c>
    </row>
    <row r="17" spans="1:16" ht="13" x14ac:dyDescent="0.3">
      <c r="A17" s="75">
        <v>63</v>
      </c>
      <c r="B17" s="20"/>
      <c r="C17" s="69"/>
      <c r="D17" s="4"/>
      <c r="E17" s="130">
        <v>102000</v>
      </c>
      <c r="F17" s="13"/>
      <c r="G17" s="88" t="s">
        <v>13</v>
      </c>
      <c r="H17" s="13"/>
      <c r="I17" s="124">
        <f>INT(E17-'Standing data'!$D$11)*'Standing data'!$D$13</f>
        <v>14550</v>
      </c>
      <c r="J17" s="125">
        <f>INT(E17*'Standing data'!$B$4)</f>
        <v>14790</v>
      </c>
      <c r="K17" s="124">
        <f>INT(E17*'Standing data'!$B$19)</f>
        <v>510</v>
      </c>
      <c r="L17" s="107">
        <f t="shared" si="0"/>
        <v>131850</v>
      </c>
      <c r="M17" s="108"/>
      <c r="N17" s="124">
        <f>INT(E17-'Standing data'!$D$11)*'Standing data'!$D$13</f>
        <v>14550</v>
      </c>
      <c r="O17" s="124">
        <f>INT(E17*'Standing data'!$B$19)</f>
        <v>510</v>
      </c>
      <c r="P17" s="109">
        <f t="shared" si="1"/>
        <v>117060</v>
      </c>
    </row>
    <row r="18" spans="1:16" ht="13" x14ac:dyDescent="0.3">
      <c r="A18" s="75">
        <v>62</v>
      </c>
      <c r="B18" s="20"/>
      <c r="C18" s="69"/>
      <c r="D18" s="4"/>
      <c r="E18" s="130">
        <v>99031</v>
      </c>
      <c r="F18" s="13"/>
      <c r="G18" s="88" t="s">
        <v>13</v>
      </c>
      <c r="H18" s="13"/>
      <c r="I18" s="124">
        <f>INT(E18-'Standing data'!$D$11)*'Standing data'!$D$13</f>
        <v>14104.65</v>
      </c>
      <c r="J18" s="125">
        <f>INT(E18*'Standing data'!$B$4)</f>
        <v>14359</v>
      </c>
      <c r="K18" s="124">
        <f>INT(E18*'Standing data'!$B$19)</f>
        <v>495</v>
      </c>
      <c r="L18" s="107">
        <f t="shared" si="0"/>
        <v>127989.65</v>
      </c>
      <c r="M18" s="108"/>
      <c r="N18" s="124">
        <f>INT(E18-'Standing data'!$D$11)*'Standing data'!$D$13</f>
        <v>14104.65</v>
      </c>
      <c r="O18" s="124">
        <f>INT(E18*'Standing data'!$B$19)</f>
        <v>495</v>
      </c>
      <c r="P18" s="109">
        <f t="shared" si="1"/>
        <v>113630.65</v>
      </c>
    </row>
    <row r="19" spans="1:16" ht="13" x14ac:dyDescent="0.3">
      <c r="A19" s="75">
        <v>61</v>
      </c>
      <c r="B19" s="20"/>
      <c r="C19" s="69"/>
      <c r="D19" s="4"/>
      <c r="E19" s="130">
        <v>96146</v>
      </c>
      <c r="F19" s="13"/>
      <c r="G19" s="88" t="s">
        <v>13</v>
      </c>
      <c r="H19" s="13"/>
      <c r="I19" s="124">
        <f>INT(E19-'Standing data'!$D$11)*'Standing data'!$D$13</f>
        <v>13671.9</v>
      </c>
      <c r="J19" s="125">
        <f>INT(E19*'Standing data'!$B$4)</f>
        <v>13941</v>
      </c>
      <c r="K19" s="124">
        <f>INT(E19*'Standing data'!$B$19)</f>
        <v>480</v>
      </c>
      <c r="L19" s="107">
        <f t="shared" si="0"/>
        <v>124238.9</v>
      </c>
      <c r="M19" s="108"/>
      <c r="N19" s="124">
        <f>INT(E19-'Standing data'!$D$11)*'Standing data'!$D$13</f>
        <v>13671.9</v>
      </c>
      <c r="O19" s="124">
        <f>INT(E19*'Standing data'!$B$19)</f>
        <v>480</v>
      </c>
      <c r="P19" s="109">
        <f t="shared" si="1"/>
        <v>110297.9</v>
      </c>
    </row>
    <row r="20" spans="1:16" ht="13" x14ac:dyDescent="0.3">
      <c r="A20" s="75">
        <v>60</v>
      </c>
      <c r="B20" s="69"/>
      <c r="C20" s="69"/>
      <c r="D20" s="4"/>
      <c r="E20" s="130">
        <v>93346</v>
      </c>
      <c r="F20" s="13"/>
      <c r="G20" s="88" t="s">
        <v>13</v>
      </c>
      <c r="H20" s="13"/>
      <c r="I20" s="124">
        <f>INT(E20-'Standing data'!$D$11)*'Standing data'!$D$13</f>
        <v>13251.9</v>
      </c>
      <c r="J20" s="125">
        <f>INT(E20*'Standing data'!$B$4)</f>
        <v>13535</v>
      </c>
      <c r="K20" s="124">
        <f>INT(E20*'Standing data'!$B$19)</f>
        <v>466</v>
      </c>
      <c r="L20" s="107">
        <f t="shared" si="0"/>
        <v>120598.9</v>
      </c>
      <c r="M20" s="108"/>
      <c r="N20" s="124">
        <f>INT(E20-'Standing data'!$D$11)*'Standing data'!$D$13</f>
        <v>13251.9</v>
      </c>
      <c r="O20" s="124">
        <f>INT(E20*'Standing data'!$B$19)</f>
        <v>466</v>
      </c>
      <c r="P20" s="109">
        <f t="shared" si="1"/>
        <v>107063.9</v>
      </c>
    </row>
    <row r="21" spans="1:16" ht="13" x14ac:dyDescent="0.3">
      <c r="A21" s="75">
        <v>59</v>
      </c>
      <c r="B21" s="69"/>
      <c r="C21" s="69"/>
      <c r="D21" s="4"/>
      <c r="E21" s="130">
        <v>90628</v>
      </c>
      <c r="F21" s="13"/>
      <c r="G21" s="88" t="s">
        <v>13</v>
      </c>
      <c r="H21" s="13"/>
      <c r="I21" s="124">
        <f>INT(E21-'Standing data'!$D$11)*'Standing data'!$D$13</f>
        <v>12844.199999999999</v>
      </c>
      <c r="J21" s="125">
        <f>INT(E21*'Standing data'!$B$4)</f>
        <v>13141</v>
      </c>
      <c r="K21" s="124">
        <f>INT(E21*'Standing data'!$B$19)</f>
        <v>453</v>
      </c>
      <c r="L21" s="107">
        <f t="shared" si="0"/>
        <v>117066.2</v>
      </c>
      <c r="M21" s="108"/>
      <c r="N21" s="124">
        <f>INT(E21-'Standing data'!$D$11)*'Standing data'!$D$13</f>
        <v>12844.199999999999</v>
      </c>
      <c r="O21" s="124">
        <f>INT(E21*'Standing data'!$B$19)</f>
        <v>453</v>
      </c>
      <c r="P21" s="109">
        <f t="shared" si="1"/>
        <v>103925.2</v>
      </c>
    </row>
    <row r="22" spans="1:16" ht="13" x14ac:dyDescent="0.3">
      <c r="A22" s="75">
        <v>58</v>
      </c>
      <c r="B22" s="69"/>
      <c r="C22" s="69"/>
      <c r="D22" s="4"/>
      <c r="E22" s="130">
        <v>87986</v>
      </c>
      <c r="F22" s="13"/>
      <c r="G22" s="88" t="s">
        <v>13</v>
      </c>
      <c r="H22" s="13"/>
      <c r="I22" s="124">
        <f>INT(E22-'Standing data'!$D$11)*'Standing data'!$D$13</f>
        <v>12447.9</v>
      </c>
      <c r="J22" s="125">
        <f>INT(E22*'Standing data'!$B$4)</f>
        <v>12757</v>
      </c>
      <c r="K22" s="124">
        <f>INT(E22*'Standing data'!$B$19)</f>
        <v>439</v>
      </c>
      <c r="L22" s="107">
        <f t="shared" si="0"/>
        <v>113629.9</v>
      </c>
      <c r="M22" s="108"/>
      <c r="N22" s="124">
        <f>INT(E22-'Standing data'!$D$11)*'Standing data'!$D$13</f>
        <v>12447.9</v>
      </c>
      <c r="O22" s="124">
        <f>INT(E22*'Standing data'!$B$19)</f>
        <v>439</v>
      </c>
      <c r="P22" s="109">
        <f t="shared" si="1"/>
        <v>100872.9</v>
      </c>
    </row>
    <row r="23" spans="1:16" ht="13" x14ac:dyDescent="0.3">
      <c r="A23" s="75">
        <v>57</v>
      </c>
      <c r="B23" s="69"/>
      <c r="C23" s="63"/>
      <c r="D23" s="4"/>
      <c r="E23" s="130">
        <v>85424</v>
      </c>
      <c r="F23" s="13"/>
      <c r="G23" s="88" t="s">
        <v>13</v>
      </c>
      <c r="H23" s="13"/>
      <c r="I23" s="124">
        <f>INT(E23-'Standing data'!$D$11)*'Standing data'!$D$13</f>
        <v>12063.6</v>
      </c>
      <c r="J23" s="125">
        <f>INT(E23*'Standing data'!$B$4)</f>
        <v>12386</v>
      </c>
      <c r="K23" s="124">
        <f>INT(E23*'Standing data'!$B$19)</f>
        <v>427</v>
      </c>
      <c r="L23" s="107">
        <f t="shared" si="0"/>
        <v>110300.6</v>
      </c>
      <c r="M23" s="108"/>
      <c r="N23" s="124">
        <f>INT(E23-'Standing data'!$D$11)*'Standing data'!$D$13</f>
        <v>12063.6</v>
      </c>
      <c r="O23" s="124">
        <f>INT(E23*'Standing data'!$B$19)</f>
        <v>427</v>
      </c>
      <c r="P23" s="109">
        <f t="shared" si="1"/>
        <v>97914.6</v>
      </c>
    </row>
    <row r="24" spans="1:16" ht="13" x14ac:dyDescent="0.3">
      <c r="A24" s="75">
        <v>56</v>
      </c>
      <c r="B24" s="69"/>
      <c r="C24" s="69"/>
      <c r="D24" s="4"/>
      <c r="E24" s="130">
        <v>82935</v>
      </c>
      <c r="F24" s="13"/>
      <c r="G24" s="88" t="s">
        <v>13</v>
      </c>
      <c r="H24" s="13"/>
      <c r="I24" s="124">
        <f>INT(E24-'Standing data'!$D$11)*'Standing data'!$D$13</f>
        <v>11690.25</v>
      </c>
      <c r="J24" s="125">
        <f>INT(E24*'Standing data'!$B$4)</f>
        <v>12025</v>
      </c>
      <c r="K24" s="124">
        <f>INT(E24*'Standing data'!$B$19)</f>
        <v>414</v>
      </c>
      <c r="L24" s="107">
        <f t="shared" si="0"/>
        <v>107064.25</v>
      </c>
      <c r="M24" s="108"/>
      <c r="N24" s="124">
        <f>INT(E24-'Standing data'!$D$11)*'Standing data'!$D$13</f>
        <v>11690.25</v>
      </c>
      <c r="O24" s="124">
        <f>INT(E24*'Standing data'!$B$19)</f>
        <v>414</v>
      </c>
      <c r="P24" s="109">
        <f t="shared" si="1"/>
        <v>95039.25</v>
      </c>
    </row>
    <row r="25" spans="1:16" ht="13" x14ac:dyDescent="0.3">
      <c r="A25" s="75">
        <v>55</v>
      </c>
      <c r="B25" s="69"/>
      <c r="C25" s="69"/>
      <c r="D25" s="4"/>
      <c r="E25" s="130">
        <v>80529</v>
      </c>
      <c r="F25" s="13"/>
      <c r="G25" s="88" t="s">
        <v>13</v>
      </c>
      <c r="H25" s="13"/>
      <c r="I25" s="124">
        <f>INT(E25-'Standing data'!$D$11)*'Standing data'!$D$13</f>
        <v>11329.35</v>
      </c>
      <c r="J25" s="125">
        <f>INT(E25*'Standing data'!$B$4)</f>
        <v>11676</v>
      </c>
      <c r="K25" s="124">
        <f>INT(E25*'Standing data'!$B$19)</f>
        <v>402</v>
      </c>
      <c r="L25" s="107">
        <f t="shared" si="0"/>
        <v>103936.35</v>
      </c>
      <c r="M25" s="108"/>
      <c r="N25" s="124">
        <f>INT(E25-'Standing data'!$D$11)*'Standing data'!$D$13</f>
        <v>11329.35</v>
      </c>
      <c r="O25" s="124">
        <f>INT(E25*'Standing data'!$B$19)</f>
        <v>402</v>
      </c>
      <c r="P25" s="109">
        <f t="shared" si="1"/>
        <v>92260.35</v>
      </c>
    </row>
    <row r="26" spans="1:16" ht="13" x14ac:dyDescent="0.3">
      <c r="A26" s="76">
        <v>54</v>
      </c>
      <c r="B26" s="70"/>
      <c r="C26" s="70"/>
      <c r="D26" s="4"/>
      <c r="E26" s="130">
        <v>78189</v>
      </c>
      <c r="F26" s="89"/>
      <c r="G26" s="88" t="s">
        <v>13</v>
      </c>
      <c r="H26" s="89"/>
      <c r="I26" s="124">
        <f>INT(E26-'Standing data'!$D$11)*'Standing data'!$D$13</f>
        <v>10978.35</v>
      </c>
      <c r="J26" s="125">
        <f>INT(E26*'Standing data'!$B$4)</f>
        <v>11337</v>
      </c>
      <c r="K26" s="124">
        <f>INT(E26*'Standing data'!$B$19)</f>
        <v>390</v>
      </c>
      <c r="L26" s="107">
        <f t="shared" si="0"/>
        <v>100894.35</v>
      </c>
      <c r="M26" s="110"/>
      <c r="N26" s="124">
        <f>INT(E26-'Standing data'!$D$11)*'Standing data'!$D$13</f>
        <v>10978.35</v>
      </c>
      <c r="O26" s="124">
        <f>INT(E26*'Standing data'!$B$19)</f>
        <v>390</v>
      </c>
      <c r="P26" s="109">
        <f t="shared" si="1"/>
        <v>89557.35</v>
      </c>
    </row>
    <row r="27" spans="1:16" ht="13" x14ac:dyDescent="0.3">
      <c r="A27" s="76">
        <v>53</v>
      </c>
      <c r="B27" s="2"/>
      <c r="C27" s="70"/>
      <c r="D27" s="4"/>
      <c r="E27" s="130">
        <v>75917</v>
      </c>
      <c r="F27" s="89"/>
      <c r="G27" s="88" t="s">
        <v>13</v>
      </c>
      <c r="H27" s="89"/>
      <c r="I27" s="124">
        <f>INT(E27-'Standing data'!$D$11)*'Standing data'!$D$13</f>
        <v>10637.55</v>
      </c>
      <c r="J27" s="125">
        <f>INT(E27*'Standing data'!$B$4)</f>
        <v>11007</v>
      </c>
      <c r="K27" s="124">
        <f>INT(E27*'Standing data'!$B$19)</f>
        <v>379</v>
      </c>
      <c r="L27" s="107">
        <f t="shared" si="0"/>
        <v>97940.55</v>
      </c>
      <c r="M27" s="110"/>
      <c r="N27" s="124">
        <f>INT(E27-'Standing data'!$D$11)*'Standing data'!$D$13</f>
        <v>10637.55</v>
      </c>
      <c r="O27" s="124">
        <f>INT(E27*'Standing data'!$B$19)</f>
        <v>379</v>
      </c>
      <c r="P27" s="109">
        <f t="shared" si="1"/>
        <v>86933.55</v>
      </c>
    </row>
    <row r="28" spans="1:16" ht="13" x14ac:dyDescent="0.3">
      <c r="A28" s="76">
        <v>52</v>
      </c>
      <c r="B28" s="2"/>
      <c r="C28" s="70"/>
      <c r="D28" s="4"/>
      <c r="E28" s="130">
        <v>73710</v>
      </c>
      <c r="F28" s="89"/>
      <c r="G28" s="88" t="s">
        <v>13</v>
      </c>
      <c r="H28" s="89"/>
      <c r="I28" s="124">
        <f>INT(E28-'Standing data'!$D$11)*'Standing data'!$D$13</f>
        <v>10306.5</v>
      </c>
      <c r="J28" s="125">
        <f>INT(E28*'Standing data'!$B$4)</f>
        <v>10687</v>
      </c>
      <c r="K28" s="124">
        <f>INT(E28*'Standing data'!$B$19)</f>
        <v>368</v>
      </c>
      <c r="L28" s="107">
        <f t="shared" si="0"/>
        <v>95071.5</v>
      </c>
      <c r="M28" s="110"/>
      <c r="N28" s="124">
        <f>INT(E28-'Standing data'!$D$11)*'Standing data'!$D$13</f>
        <v>10306.5</v>
      </c>
      <c r="O28" s="124">
        <f>INT(E28*'Standing data'!$B$19)</f>
        <v>368</v>
      </c>
      <c r="P28" s="109">
        <f t="shared" si="1"/>
        <v>84384.5</v>
      </c>
    </row>
    <row r="29" spans="1:16" ht="13" x14ac:dyDescent="0.3">
      <c r="A29" s="76">
        <v>51</v>
      </c>
      <c r="B29" s="2"/>
      <c r="C29" s="71"/>
      <c r="D29" s="76"/>
      <c r="E29" s="130">
        <v>71566</v>
      </c>
      <c r="F29" s="90"/>
      <c r="G29" s="88" t="s">
        <v>13</v>
      </c>
      <c r="H29" s="90"/>
      <c r="I29" s="124">
        <f>INT(E29-'Standing data'!$D$11)*'Standing data'!$D$13</f>
        <v>9984.9</v>
      </c>
      <c r="J29" s="125">
        <f>INT(E29*'Standing data'!$B$4)</f>
        <v>10377</v>
      </c>
      <c r="K29" s="124">
        <f>INT(E29*'Standing data'!$B$19)</f>
        <v>357</v>
      </c>
      <c r="L29" s="107">
        <f t="shared" si="0"/>
        <v>92284.9</v>
      </c>
      <c r="M29" s="110"/>
      <c r="N29" s="124">
        <f>INT(E29-'Standing data'!$D$11)*'Standing data'!$D$13</f>
        <v>9984.9</v>
      </c>
      <c r="O29" s="124">
        <f>INT(E29*'Standing data'!$B$19)</f>
        <v>357</v>
      </c>
      <c r="P29" s="109">
        <f t="shared" si="1"/>
        <v>81907.899999999994</v>
      </c>
    </row>
    <row r="30" spans="1:16" ht="13" x14ac:dyDescent="0.3">
      <c r="A30" s="76">
        <v>50</v>
      </c>
      <c r="B30" s="2"/>
      <c r="C30" s="8"/>
      <c r="D30" s="76"/>
      <c r="E30" s="130">
        <v>69488</v>
      </c>
      <c r="F30" s="90"/>
      <c r="G30" s="88" t="s">
        <v>13</v>
      </c>
      <c r="H30" s="90"/>
      <c r="I30" s="124">
        <f>INT(E30-'Standing data'!$D$11)*'Standing data'!$D$13</f>
        <v>9673.1999999999989</v>
      </c>
      <c r="J30" s="125">
        <f>INT(E30*'Standing data'!$B$4)</f>
        <v>10075</v>
      </c>
      <c r="K30" s="124">
        <f>INT(E30*'Standing data'!$B$19)</f>
        <v>347</v>
      </c>
      <c r="L30" s="107">
        <f t="shared" si="0"/>
        <v>89583.2</v>
      </c>
      <c r="M30" s="110"/>
      <c r="N30" s="124">
        <f>INT(E30-'Standing data'!$D$11)*'Standing data'!$D$13</f>
        <v>9673.1999999999989</v>
      </c>
      <c r="O30" s="124">
        <f>INT(E30*'Standing data'!$B$19)</f>
        <v>347</v>
      </c>
      <c r="P30" s="109">
        <f t="shared" si="1"/>
        <v>79508.2</v>
      </c>
    </row>
    <row r="31" spans="1:16" ht="13" x14ac:dyDescent="0.3">
      <c r="A31" s="76">
        <v>49</v>
      </c>
      <c r="B31" s="72"/>
      <c r="C31" s="8"/>
      <c r="D31" s="76"/>
      <c r="E31" s="130">
        <v>67468</v>
      </c>
      <c r="F31" s="90"/>
      <c r="G31" s="88" t="s">
        <v>13</v>
      </c>
      <c r="H31" s="90"/>
      <c r="I31" s="124">
        <f>INT(E31-'Standing data'!$D$11)*'Standing data'!$D$13</f>
        <v>9370.1999999999989</v>
      </c>
      <c r="J31" s="125">
        <f>INT(E31*'Standing data'!$B$4)</f>
        <v>9782</v>
      </c>
      <c r="K31" s="124">
        <f>INT(E31*'Standing data'!$B$19)</f>
        <v>337</v>
      </c>
      <c r="L31" s="107">
        <f t="shared" si="0"/>
        <v>86957.2</v>
      </c>
      <c r="M31" s="110"/>
      <c r="N31" s="124">
        <f>INT(E31-'Standing data'!$D$11)*'Standing data'!$D$13</f>
        <v>9370.1999999999989</v>
      </c>
      <c r="O31" s="124">
        <f>INT(E31*'Standing data'!$B$19)</f>
        <v>337</v>
      </c>
      <c r="P31" s="109">
        <f t="shared" si="1"/>
        <v>77175.199999999997</v>
      </c>
    </row>
    <row r="32" spans="1:16" ht="13" x14ac:dyDescent="0.3">
      <c r="A32" s="77">
        <v>48</v>
      </c>
      <c r="B32" s="70"/>
      <c r="C32" s="73" t="s">
        <v>14</v>
      </c>
      <c r="D32" s="4"/>
      <c r="E32" s="130">
        <v>65827</v>
      </c>
      <c r="F32" s="91"/>
      <c r="G32" s="88" t="s">
        <v>13</v>
      </c>
      <c r="H32" s="91"/>
      <c r="I32" s="124">
        <f>INT(E32-'Standing data'!$D$11)*'Standing data'!$D$13</f>
        <v>9124.0499999999993</v>
      </c>
      <c r="J32" s="125">
        <f>INT(E32*'Standing data'!$B$4)</f>
        <v>9544</v>
      </c>
      <c r="K32" s="124">
        <f>INT(E32*'Standing data'!$B$19)</f>
        <v>329</v>
      </c>
      <c r="L32" s="107">
        <f t="shared" si="0"/>
        <v>84824.05</v>
      </c>
      <c r="M32" s="110"/>
      <c r="N32" s="124">
        <f>INT(E32-'Standing data'!$D$11)*'Standing data'!$D$13</f>
        <v>9124.0499999999993</v>
      </c>
      <c r="O32" s="124">
        <f>INT(E32*'Standing data'!$B$19)</f>
        <v>329</v>
      </c>
      <c r="P32" s="109">
        <f t="shared" si="1"/>
        <v>75280.05</v>
      </c>
    </row>
    <row r="33" spans="1:16" ht="13" x14ac:dyDescent="0.3">
      <c r="A33" s="76">
        <v>47</v>
      </c>
      <c r="B33" s="70"/>
      <c r="C33" s="74"/>
      <c r="D33" s="76"/>
      <c r="E33" s="130">
        <v>63606</v>
      </c>
      <c r="F33" s="90"/>
      <c r="G33" s="88" t="s">
        <v>13</v>
      </c>
      <c r="H33" s="90"/>
      <c r="I33" s="124">
        <f>INT(E33-'Standing data'!$D$11)*'Standing data'!$D$13</f>
        <v>8790.9</v>
      </c>
      <c r="J33" s="125">
        <f>INT(E33*'Standing data'!$B$4)</f>
        <v>9222</v>
      </c>
      <c r="K33" s="124">
        <f>INT(E33*'Standing data'!$B$19)</f>
        <v>318</v>
      </c>
      <c r="L33" s="107">
        <f t="shared" si="0"/>
        <v>81936.899999999994</v>
      </c>
      <c r="M33" s="110"/>
      <c r="N33" s="124">
        <f>INT(E33-'Standing data'!$D$11)*'Standing data'!$D$13</f>
        <v>8790.9</v>
      </c>
      <c r="O33" s="124">
        <f>INT(E33*'Standing data'!$B$19)</f>
        <v>318</v>
      </c>
      <c r="P33" s="109">
        <f t="shared" si="1"/>
        <v>72714.899999999994</v>
      </c>
    </row>
    <row r="34" spans="1:16" ht="13" x14ac:dyDescent="0.3">
      <c r="A34" s="76">
        <v>46</v>
      </c>
      <c r="B34" s="70"/>
      <c r="C34" s="2"/>
      <c r="D34" s="76"/>
      <c r="E34" s="130">
        <v>61759</v>
      </c>
      <c r="F34" s="90"/>
      <c r="G34" s="88" t="s">
        <v>13</v>
      </c>
      <c r="H34" s="90"/>
      <c r="I34" s="124">
        <f>INT(E34-'Standing data'!$D$11)*'Standing data'!$D$13</f>
        <v>8513.85</v>
      </c>
      <c r="J34" s="125">
        <f>INT(E34*'Standing data'!$B$4)</f>
        <v>8955</v>
      </c>
      <c r="K34" s="124">
        <f>INT(E34*'Standing data'!$B$19)</f>
        <v>308</v>
      </c>
      <c r="L34" s="107">
        <f t="shared" si="0"/>
        <v>79535.850000000006</v>
      </c>
      <c r="M34" s="110"/>
      <c r="N34" s="124">
        <f>INT(E34-'Standing data'!$D$11)*'Standing data'!$D$13</f>
        <v>8513.85</v>
      </c>
      <c r="O34" s="124">
        <f>INT(E34*'Standing data'!$B$19)</f>
        <v>308</v>
      </c>
      <c r="P34" s="109">
        <f t="shared" si="1"/>
        <v>70580.850000000006</v>
      </c>
    </row>
    <row r="35" spans="1:16" ht="13" x14ac:dyDescent="0.3">
      <c r="A35" s="76">
        <v>45</v>
      </c>
      <c r="B35" s="70"/>
      <c r="C35" s="2"/>
      <c r="D35" s="76"/>
      <c r="E35" s="130">
        <v>59966</v>
      </c>
      <c r="F35" s="90"/>
      <c r="G35" s="88" t="s">
        <v>13</v>
      </c>
      <c r="H35" s="90"/>
      <c r="I35" s="124">
        <f>INT(E35-'Standing data'!$D$11)*'Standing data'!$D$13</f>
        <v>8244.9</v>
      </c>
      <c r="J35" s="125">
        <f>INT(E35*'Standing data'!$B$4)</f>
        <v>8695</v>
      </c>
      <c r="K35" s="124">
        <f>INT(E35*'Standing data'!$B$19)</f>
        <v>299</v>
      </c>
      <c r="L35" s="107">
        <f t="shared" si="0"/>
        <v>77204.899999999994</v>
      </c>
      <c r="M35" s="110"/>
      <c r="N35" s="124">
        <f>INT(E35-'Standing data'!$D$11)*'Standing data'!$D$13</f>
        <v>8244.9</v>
      </c>
      <c r="O35" s="124">
        <f>INT(E35*'Standing data'!$B$19)</f>
        <v>299</v>
      </c>
      <c r="P35" s="109">
        <f t="shared" si="1"/>
        <v>68509.899999999994</v>
      </c>
    </row>
    <row r="36" spans="1:16" ht="13" x14ac:dyDescent="0.3">
      <c r="A36" s="76">
        <v>44</v>
      </c>
      <c r="B36" s="5"/>
      <c r="C36" s="2"/>
      <c r="D36" s="76"/>
      <c r="E36" s="130">
        <v>58225</v>
      </c>
      <c r="F36" s="90"/>
      <c r="G36" s="88" t="s">
        <v>13</v>
      </c>
      <c r="H36" s="90"/>
      <c r="I36" s="124">
        <f>INT(E36-'Standing data'!$D$11)*'Standing data'!$D$13</f>
        <v>7983.75</v>
      </c>
      <c r="J36" s="125">
        <f>INT(E36*'Standing data'!$B$4)</f>
        <v>8442</v>
      </c>
      <c r="K36" s="124">
        <f>INT(E36*'Standing data'!$B$19)</f>
        <v>291</v>
      </c>
      <c r="L36" s="107">
        <f t="shared" si="0"/>
        <v>74941.75</v>
      </c>
      <c r="M36" s="110"/>
      <c r="N36" s="124">
        <f>INT(E36-'Standing data'!$D$11)*'Standing data'!$D$13</f>
        <v>7983.75</v>
      </c>
      <c r="O36" s="124">
        <f>INT(E36*'Standing data'!$B$19)</f>
        <v>291</v>
      </c>
      <c r="P36" s="109">
        <f t="shared" si="1"/>
        <v>66499.75</v>
      </c>
    </row>
    <row r="37" spans="1:16" ht="13" x14ac:dyDescent="0.3">
      <c r="A37" s="76">
        <v>43</v>
      </c>
      <c r="B37" s="5"/>
      <c r="C37" s="2"/>
      <c r="D37" s="76"/>
      <c r="E37" s="130">
        <v>56535</v>
      </c>
      <c r="F37" s="90"/>
      <c r="G37" s="88" t="s">
        <v>13</v>
      </c>
      <c r="H37" s="90"/>
      <c r="I37" s="124">
        <f>INT(E37-'Standing data'!$D$11)*'Standing data'!$D$13</f>
        <v>7730.25</v>
      </c>
      <c r="J37" s="125">
        <f>INT(E37*'Standing data'!$B$4)</f>
        <v>8197</v>
      </c>
      <c r="K37" s="124">
        <f>INT(E37*'Standing data'!$B$19)</f>
        <v>282</v>
      </c>
      <c r="L37" s="107">
        <f t="shared" si="0"/>
        <v>72744.25</v>
      </c>
      <c r="M37" s="110"/>
      <c r="N37" s="124">
        <f>INT(E37-'Standing data'!$D$11)*'Standing data'!$D$13</f>
        <v>7730.25</v>
      </c>
      <c r="O37" s="124">
        <f>INT(E37*'Standing data'!$B$19)</f>
        <v>282</v>
      </c>
      <c r="P37" s="109">
        <f t="shared" si="1"/>
        <v>64547.25</v>
      </c>
    </row>
    <row r="38" spans="1:16" ht="13" x14ac:dyDescent="0.3">
      <c r="A38" s="76">
        <v>42</v>
      </c>
      <c r="B38" s="5"/>
      <c r="C38" s="2"/>
      <c r="D38" s="76"/>
      <c r="E38" s="130">
        <v>54893</v>
      </c>
      <c r="F38" s="90"/>
      <c r="G38" s="88" t="s">
        <v>13</v>
      </c>
      <c r="H38" s="90"/>
      <c r="I38" s="124">
        <f>INT(E38-'Standing data'!$D$11)*'Standing data'!$D$13</f>
        <v>7483.95</v>
      </c>
      <c r="J38" s="125">
        <f>INT(E38*'Standing data'!$B$4)</f>
        <v>7959</v>
      </c>
      <c r="K38" s="124">
        <f>INT(E38*'Standing data'!$B$19)</f>
        <v>274</v>
      </c>
      <c r="L38" s="107">
        <f t="shared" si="0"/>
        <v>70609.95</v>
      </c>
      <c r="M38" s="110"/>
      <c r="N38" s="124">
        <f>INT(E38-'Standing data'!$D$11)*'Standing data'!$D$13</f>
        <v>7483.95</v>
      </c>
      <c r="O38" s="124">
        <f>INT(E38*'Standing data'!$B$19)</f>
        <v>274</v>
      </c>
      <c r="P38" s="109">
        <f t="shared" si="1"/>
        <v>62650.95</v>
      </c>
    </row>
    <row r="39" spans="1:16" ht="13" x14ac:dyDescent="0.3">
      <c r="A39" s="76">
        <v>41</v>
      </c>
      <c r="B39" s="5"/>
      <c r="C39" s="70"/>
      <c r="D39" s="76"/>
      <c r="E39" s="130">
        <v>53301</v>
      </c>
      <c r="F39" s="90"/>
      <c r="G39" s="88" t="s">
        <v>13</v>
      </c>
      <c r="H39" s="90"/>
      <c r="I39" s="124">
        <f>INT(E39-'Standing data'!$D$11)*'Standing data'!$D$13</f>
        <v>7245.15</v>
      </c>
      <c r="J39" s="125">
        <f>INT(E39*'Standing data'!$B$4)</f>
        <v>7728</v>
      </c>
      <c r="K39" s="124">
        <f>INT(E39*'Standing data'!$B$19)</f>
        <v>266</v>
      </c>
      <c r="L39" s="107">
        <f t="shared" si="0"/>
        <v>68540.149999999994</v>
      </c>
      <c r="M39" s="110"/>
      <c r="N39" s="124">
        <f>INT(E39-'Standing data'!$D$11)*'Standing data'!$D$13</f>
        <v>7245.15</v>
      </c>
      <c r="O39" s="124">
        <f>INT(E39*'Standing data'!$B$19)</f>
        <v>266</v>
      </c>
      <c r="P39" s="109">
        <f t="shared" si="1"/>
        <v>60812.15</v>
      </c>
    </row>
    <row r="40" spans="1:16" ht="13" x14ac:dyDescent="0.3">
      <c r="A40" s="76">
        <v>40</v>
      </c>
      <c r="B40" s="5"/>
      <c r="C40" s="70"/>
      <c r="D40" s="76"/>
      <c r="E40" s="130">
        <v>51753</v>
      </c>
      <c r="F40" s="90"/>
      <c r="G40" s="88" t="s">
        <v>13</v>
      </c>
      <c r="H40" s="90"/>
      <c r="I40" s="124">
        <f>INT(E40-'Standing data'!$D$11)*'Standing data'!$D$13</f>
        <v>7012.95</v>
      </c>
      <c r="J40" s="125">
        <f>INT(E40*'Standing data'!$B$4)</f>
        <v>7504</v>
      </c>
      <c r="K40" s="124">
        <f>INT(E40*'Standing data'!$B$19)</f>
        <v>258</v>
      </c>
      <c r="L40" s="107">
        <f t="shared" si="0"/>
        <v>66527.95</v>
      </c>
      <c r="M40" s="110"/>
      <c r="N40" s="124">
        <f>INT(E40-'Standing data'!$D$11)*'Standing data'!$D$13</f>
        <v>7012.95</v>
      </c>
      <c r="O40" s="124">
        <f>INT(E40*'Standing data'!$B$19)</f>
        <v>258</v>
      </c>
      <c r="P40" s="109">
        <f t="shared" si="1"/>
        <v>59023.95</v>
      </c>
    </row>
    <row r="41" spans="1:16" ht="13" x14ac:dyDescent="0.3">
      <c r="A41" s="76">
        <v>39</v>
      </c>
      <c r="B41" s="6" t="s">
        <v>15</v>
      </c>
      <c r="C41" s="70"/>
      <c r="D41" s="76"/>
      <c r="E41" s="130">
        <v>50253</v>
      </c>
      <c r="F41" s="90"/>
      <c r="G41" s="88" t="s">
        <v>13</v>
      </c>
      <c r="H41" s="90"/>
      <c r="I41" s="124">
        <f>INT(E41-'Standing data'!$D$11)*'Standing data'!$D$13</f>
        <v>6787.95</v>
      </c>
      <c r="J41" s="125">
        <f>INT(E41*'Standing data'!$B$4)</f>
        <v>7286</v>
      </c>
      <c r="K41" s="124">
        <f>INT(E41*'Standing data'!$B$19)</f>
        <v>251</v>
      </c>
      <c r="L41" s="107">
        <f t="shared" si="0"/>
        <v>64577.95</v>
      </c>
      <c r="M41" s="110"/>
      <c r="N41" s="124">
        <f>INT(E41-'Standing data'!$D$11)*'Standing data'!$D$13</f>
        <v>6787.95</v>
      </c>
      <c r="O41" s="124">
        <f>INT(E41*'Standing data'!$B$19)</f>
        <v>251</v>
      </c>
      <c r="P41" s="109">
        <f t="shared" si="1"/>
        <v>57291.95</v>
      </c>
    </row>
    <row r="42" spans="1:16" ht="13" x14ac:dyDescent="0.3">
      <c r="A42" s="76">
        <v>38</v>
      </c>
      <c r="B42" s="2"/>
      <c r="C42" s="70"/>
      <c r="D42" s="76"/>
      <c r="E42" s="130">
        <v>48822</v>
      </c>
      <c r="F42" s="90"/>
      <c r="G42" s="88" t="s">
        <v>13</v>
      </c>
      <c r="H42" s="90"/>
      <c r="I42" s="124">
        <f>INT(E42-'Standing data'!$D$11)*'Standing data'!$D$13</f>
        <v>6573.3</v>
      </c>
      <c r="J42" s="125">
        <f>INT(E42*'Standing data'!$B$4)</f>
        <v>7079</v>
      </c>
      <c r="K42" s="124">
        <f>INT(E42*'Standing data'!$B$19)</f>
        <v>244</v>
      </c>
      <c r="L42" s="107">
        <f t="shared" si="0"/>
        <v>62718.3</v>
      </c>
      <c r="M42" s="110"/>
      <c r="N42" s="124">
        <f>INT(E42-'Standing data'!$D$11)*'Standing data'!$D$13</f>
        <v>6573.3</v>
      </c>
      <c r="O42" s="124">
        <f>INT(E42*'Standing data'!$B$19)</f>
        <v>244</v>
      </c>
      <c r="P42" s="109">
        <f t="shared" si="1"/>
        <v>55639.3</v>
      </c>
    </row>
    <row r="43" spans="1:16" ht="13" x14ac:dyDescent="0.3">
      <c r="A43" s="76">
        <v>37</v>
      </c>
      <c r="B43" s="2"/>
      <c r="C43" s="70"/>
      <c r="D43" s="76"/>
      <c r="E43" s="130">
        <v>47389</v>
      </c>
      <c r="F43" s="90"/>
      <c r="G43" s="88" t="s">
        <v>13</v>
      </c>
      <c r="H43" s="90"/>
      <c r="I43" s="124">
        <f>INT(E43-'Standing data'!$D$11)*'Standing data'!$D$13</f>
        <v>6358.3499999999995</v>
      </c>
      <c r="J43" s="125">
        <f>INT(E43*'Standing data'!$B$4)</f>
        <v>6871</v>
      </c>
      <c r="K43" s="124">
        <f>INT(E43*'Standing data'!$B$19)</f>
        <v>236</v>
      </c>
      <c r="L43" s="107">
        <f t="shared" si="0"/>
        <v>60854.35</v>
      </c>
      <c r="M43" s="110"/>
      <c r="N43" s="124">
        <f>INT(E43-'Standing data'!$D$11)*'Standing data'!$D$13</f>
        <v>6358.3499999999995</v>
      </c>
      <c r="O43" s="124">
        <f>INT(E43*'Standing data'!$B$19)</f>
        <v>236</v>
      </c>
      <c r="P43" s="109">
        <f t="shared" si="1"/>
        <v>53983.35</v>
      </c>
    </row>
    <row r="44" spans="1:16" ht="13" x14ac:dyDescent="0.3">
      <c r="A44" s="76">
        <v>36</v>
      </c>
      <c r="B44" s="2"/>
      <c r="C44" s="5"/>
      <c r="D44" s="76"/>
      <c r="E44" s="130">
        <v>46049</v>
      </c>
      <c r="F44" s="90"/>
      <c r="G44" s="88" t="s">
        <v>13</v>
      </c>
      <c r="H44" s="90"/>
      <c r="I44" s="124">
        <f>INT(E44-'Standing data'!$D$11)*'Standing data'!$D$13</f>
        <v>6157.3499999999995</v>
      </c>
      <c r="J44" s="125">
        <f>INT(E44*'Standing data'!$B$4)</f>
        <v>6677</v>
      </c>
      <c r="K44" s="124">
        <f>INT(E44*'Standing data'!$B$19)</f>
        <v>230</v>
      </c>
      <c r="L44" s="107">
        <f t="shared" si="0"/>
        <v>59113.35</v>
      </c>
      <c r="M44" s="110"/>
      <c r="N44" s="124">
        <f>INT(E44-'Standing data'!$D$11)*'Standing data'!$D$13</f>
        <v>6157.3499999999995</v>
      </c>
      <c r="O44" s="124">
        <f>INT(E44*'Standing data'!$B$19)</f>
        <v>230</v>
      </c>
      <c r="P44" s="109">
        <f t="shared" si="1"/>
        <v>52436.35</v>
      </c>
    </row>
    <row r="45" spans="1:16" ht="13" x14ac:dyDescent="0.3">
      <c r="A45" s="76">
        <v>35</v>
      </c>
      <c r="B45" s="2"/>
      <c r="C45" s="5"/>
      <c r="D45" s="76"/>
      <c r="E45" s="130">
        <v>44746</v>
      </c>
      <c r="F45" s="90"/>
      <c r="G45" s="88" t="s">
        <v>13</v>
      </c>
      <c r="H45" s="90"/>
      <c r="I45" s="124">
        <f>INT(E45-'Standing data'!$D$11)*'Standing data'!$D$13</f>
        <v>5961.9</v>
      </c>
      <c r="J45" s="125">
        <f>INT(E45*'Standing data'!$B$4)</f>
        <v>6488</v>
      </c>
      <c r="K45" s="124">
        <f>INT(E45*'Standing data'!$B$19)</f>
        <v>223</v>
      </c>
      <c r="L45" s="107">
        <f t="shared" si="0"/>
        <v>57418.9</v>
      </c>
      <c r="M45" s="110"/>
      <c r="N45" s="124">
        <f>INT(E45-'Standing data'!$D$11)*'Standing data'!$D$13</f>
        <v>5961.9</v>
      </c>
      <c r="O45" s="124">
        <f>INT(E45*'Standing data'!$B$19)</f>
        <v>223</v>
      </c>
      <c r="P45" s="109">
        <f t="shared" si="1"/>
        <v>50930.9</v>
      </c>
    </row>
    <row r="46" spans="1:16" ht="13" x14ac:dyDescent="0.3">
      <c r="A46" s="76">
        <v>34</v>
      </c>
      <c r="B46" s="2"/>
      <c r="C46" s="6" t="s">
        <v>16</v>
      </c>
      <c r="D46" s="76"/>
      <c r="E46" s="130">
        <v>43482</v>
      </c>
      <c r="F46" s="90"/>
      <c r="G46" s="88" t="s">
        <v>13</v>
      </c>
      <c r="H46" s="90"/>
      <c r="I46" s="124">
        <f>INT(E46-'Standing data'!$D$11)*'Standing data'!$D$13</f>
        <v>5772.3</v>
      </c>
      <c r="J46" s="125">
        <f>INT(E46*'Standing data'!$B$4)</f>
        <v>6304</v>
      </c>
      <c r="K46" s="124">
        <f>INT(E46*'Standing data'!$B$19)</f>
        <v>217</v>
      </c>
      <c r="L46" s="107">
        <f t="shared" si="0"/>
        <v>55775.3</v>
      </c>
      <c r="M46" s="110"/>
      <c r="N46" s="124">
        <f>INT(E46-'Standing data'!$D$11)*'Standing data'!$D$13</f>
        <v>5772.3</v>
      </c>
      <c r="O46" s="124">
        <f>INT(E46*'Standing data'!$B$19)</f>
        <v>217</v>
      </c>
      <c r="P46" s="109">
        <f t="shared" si="1"/>
        <v>49471.3</v>
      </c>
    </row>
    <row r="47" spans="1:16" ht="13" x14ac:dyDescent="0.3">
      <c r="A47" s="76"/>
      <c r="B47" s="2"/>
      <c r="C47" s="3"/>
      <c r="D47" s="76"/>
      <c r="E47" s="111"/>
      <c r="F47" s="90"/>
      <c r="G47" s="81"/>
      <c r="H47" s="90"/>
      <c r="I47" s="112"/>
      <c r="J47" s="113"/>
      <c r="K47" s="112"/>
      <c r="L47" s="114"/>
      <c r="M47" s="113"/>
      <c r="N47" s="112"/>
      <c r="O47" s="112"/>
      <c r="P47" s="114"/>
    </row>
    <row r="48" spans="1:16" ht="12.75" customHeight="1" x14ac:dyDescent="0.3">
      <c r="A48" s="76">
        <v>31</v>
      </c>
      <c r="B48" s="70"/>
      <c r="C48" s="2"/>
      <c r="D48" s="76"/>
      <c r="E48" s="101">
        <v>39906</v>
      </c>
      <c r="F48" s="90"/>
      <c r="G48" s="88" t="s">
        <v>13</v>
      </c>
      <c r="H48" s="90"/>
      <c r="I48" s="124">
        <f>INT(E48-'Standing data'!$D$11)*'Standing data'!$D$13</f>
        <v>5235.8999999999996</v>
      </c>
      <c r="J48" s="125">
        <f>INT(E48*'Standing data'!$B$4)</f>
        <v>5786</v>
      </c>
      <c r="K48" s="124">
        <f>INT(E48*'Standing data'!$B$19)</f>
        <v>199</v>
      </c>
      <c r="L48" s="107">
        <f t="shared" ref="L48:L71" si="2">E48+I48+J48+K48</f>
        <v>51126.9</v>
      </c>
      <c r="M48" s="110"/>
      <c r="N48" s="124">
        <f>INT(E48-'Standing data'!$D$11)*'Standing data'!$D$13</f>
        <v>5235.8999999999996</v>
      </c>
      <c r="O48" s="124">
        <f>INT(E48*'Standing data'!$B$19)</f>
        <v>199</v>
      </c>
      <c r="P48" s="109">
        <f t="shared" si="1"/>
        <v>45340.9</v>
      </c>
    </row>
    <row r="49" spans="1:16" ht="13" x14ac:dyDescent="0.3">
      <c r="A49" s="76">
        <v>30</v>
      </c>
      <c r="B49" s="70"/>
      <c r="C49" s="2"/>
      <c r="D49" s="76"/>
      <c r="E49" s="130">
        <v>38784</v>
      </c>
      <c r="F49" s="90"/>
      <c r="G49" s="88" t="s">
        <v>13</v>
      </c>
      <c r="H49" s="90"/>
      <c r="I49" s="124">
        <f>INT(E49-'Standing data'!$D$11)*'Standing data'!$D$13</f>
        <v>5067.5999999999995</v>
      </c>
      <c r="J49" s="125">
        <f>INT(E49*'Standing data'!$B$4)</f>
        <v>5623</v>
      </c>
      <c r="K49" s="124">
        <f>INT(E49*'Standing data'!$B$19)</f>
        <v>193</v>
      </c>
      <c r="L49" s="107">
        <f t="shared" si="2"/>
        <v>49667.6</v>
      </c>
      <c r="M49" s="110"/>
      <c r="N49" s="124">
        <f>INT(E49-'Standing data'!$D$11)*'Standing data'!$D$13</f>
        <v>5067.5999999999995</v>
      </c>
      <c r="O49" s="124">
        <f>INT(E49*'Standing data'!$B$19)</f>
        <v>193</v>
      </c>
      <c r="P49" s="109">
        <f t="shared" si="1"/>
        <v>44044.6</v>
      </c>
    </row>
    <row r="50" spans="1:16" ht="13" x14ac:dyDescent="0.3">
      <c r="A50" s="76">
        <v>29</v>
      </c>
      <c r="B50" s="83"/>
      <c r="C50" s="2"/>
      <c r="D50" s="76"/>
      <c r="E50" s="130">
        <v>37694</v>
      </c>
      <c r="F50" s="90"/>
      <c r="G50" s="88" t="s">
        <v>13</v>
      </c>
      <c r="H50" s="90"/>
      <c r="I50" s="124">
        <f>INT(E50-'Standing data'!$D$11)*'Standing data'!$D$13</f>
        <v>4904.0999999999995</v>
      </c>
      <c r="J50" s="125">
        <f>INT(E50*'Standing data'!$B$4)</f>
        <v>5465</v>
      </c>
      <c r="K50" s="124">
        <f>INT(E50*'Standing data'!$B$19)</f>
        <v>188</v>
      </c>
      <c r="L50" s="107">
        <f t="shared" si="2"/>
        <v>48251.1</v>
      </c>
      <c r="M50" s="110"/>
      <c r="N50" s="124">
        <f>INT(E50-'Standing data'!$D$11)*'Standing data'!$D$13</f>
        <v>4904.0999999999995</v>
      </c>
      <c r="O50" s="124">
        <f>INT(E50*'Standing data'!$B$19)</f>
        <v>188</v>
      </c>
      <c r="P50" s="109">
        <f t="shared" si="1"/>
        <v>42786.1</v>
      </c>
    </row>
    <row r="51" spans="1:16" ht="13" x14ac:dyDescent="0.3">
      <c r="A51" s="76">
        <v>28</v>
      </c>
      <c r="B51" s="83"/>
      <c r="C51" s="2"/>
      <c r="D51" s="76"/>
      <c r="E51" s="130">
        <v>36636</v>
      </c>
      <c r="F51" s="90"/>
      <c r="G51" s="88" t="s">
        <v>13</v>
      </c>
      <c r="H51" s="90"/>
      <c r="I51" s="124">
        <f>INT(E51-'Standing data'!$D$11)*'Standing data'!$D$13</f>
        <v>4745.3999999999996</v>
      </c>
      <c r="J51" s="125">
        <f>INT(E51*'Standing data'!$B$4)</f>
        <v>5312</v>
      </c>
      <c r="K51" s="124">
        <f>INT(E51*'Standing data'!$B$19)</f>
        <v>183</v>
      </c>
      <c r="L51" s="107">
        <f t="shared" si="2"/>
        <v>46876.4</v>
      </c>
      <c r="M51" s="110"/>
      <c r="N51" s="124">
        <f>INT(E51-'Standing data'!$D$11)*'Standing data'!$D$13</f>
        <v>4745.3999999999996</v>
      </c>
      <c r="O51" s="124">
        <f>INT(E51*'Standing data'!$B$19)</f>
        <v>183</v>
      </c>
      <c r="P51" s="109">
        <f t="shared" si="1"/>
        <v>41564.400000000001</v>
      </c>
    </row>
    <row r="52" spans="1:16" ht="13" x14ac:dyDescent="0.3">
      <c r="A52" s="76">
        <v>27</v>
      </c>
      <c r="B52" s="7"/>
      <c r="C52" s="2"/>
      <c r="D52" s="80"/>
      <c r="E52" s="130">
        <v>35608</v>
      </c>
      <c r="F52" s="91"/>
      <c r="G52" s="88" t="s">
        <v>13</v>
      </c>
      <c r="H52" s="91"/>
      <c r="I52" s="124">
        <f>INT(E52-'Standing data'!$D$11)*'Standing data'!$D$13</f>
        <v>4591.2</v>
      </c>
      <c r="J52" s="125">
        <f>INT(E52*'Standing data'!$B$4)</f>
        <v>5163</v>
      </c>
      <c r="K52" s="124">
        <f>INT(E52*'Standing data'!$B$19)</f>
        <v>178</v>
      </c>
      <c r="L52" s="107">
        <f t="shared" si="2"/>
        <v>45540.2</v>
      </c>
      <c r="M52" s="110"/>
      <c r="N52" s="124">
        <f>INT(E52-'Standing data'!$D$11)*'Standing data'!$D$13</f>
        <v>4591.2</v>
      </c>
      <c r="O52" s="124">
        <f>INT(E52*'Standing data'!$B$19)</f>
        <v>178</v>
      </c>
      <c r="P52" s="109">
        <f t="shared" si="1"/>
        <v>40377.199999999997</v>
      </c>
    </row>
    <row r="53" spans="1:16" ht="13" x14ac:dyDescent="0.3">
      <c r="A53" s="76">
        <v>26</v>
      </c>
      <c r="B53" s="5"/>
      <c r="C53" s="2"/>
      <c r="D53" s="76"/>
      <c r="E53" s="130">
        <v>34610</v>
      </c>
      <c r="F53" s="90"/>
      <c r="G53" s="88" t="s">
        <v>13</v>
      </c>
      <c r="H53" s="90"/>
      <c r="I53" s="124">
        <f>INT(E53-'Standing data'!$D$11)*'Standing data'!$D$13</f>
        <v>4441.5</v>
      </c>
      <c r="J53" s="125">
        <f>INT(E53*'Standing data'!$B$4)</f>
        <v>5018</v>
      </c>
      <c r="K53" s="124">
        <f>INT(E53*'Standing data'!$B$19)</f>
        <v>173</v>
      </c>
      <c r="L53" s="107">
        <f t="shared" si="2"/>
        <v>44242.5</v>
      </c>
      <c r="M53" s="110"/>
      <c r="N53" s="124">
        <f>INT(E53-'Standing data'!$D$11)*'Standing data'!$D$13</f>
        <v>4441.5</v>
      </c>
      <c r="O53" s="124">
        <f>INT(E53*'Standing data'!$B$19)</f>
        <v>173</v>
      </c>
      <c r="P53" s="109">
        <f t="shared" si="1"/>
        <v>39224.5</v>
      </c>
    </row>
    <row r="54" spans="1:16" ht="13" x14ac:dyDescent="0.3">
      <c r="A54" s="76">
        <v>25</v>
      </c>
      <c r="B54" s="6" t="s">
        <v>17</v>
      </c>
      <c r="C54" s="2"/>
      <c r="D54" s="76"/>
      <c r="E54" s="130">
        <v>33951</v>
      </c>
      <c r="F54" s="90"/>
      <c r="G54" s="88" t="s">
        <v>13</v>
      </c>
      <c r="H54" s="90"/>
      <c r="I54" s="124">
        <f>INT(E54-'Standing data'!$D$11)*'Standing data'!$D$13</f>
        <v>4342.6499999999996</v>
      </c>
      <c r="J54" s="125">
        <f>INT(E54*'Standing data'!$B$4)</f>
        <v>4922</v>
      </c>
      <c r="K54" s="124">
        <f>INT(E54*'Standing data'!$B$19)</f>
        <v>169</v>
      </c>
      <c r="L54" s="107">
        <f t="shared" si="2"/>
        <v>43384.65</v>
      </c>
      <c r="M54" s="110"/>
      <c r="N54" s="124">
        <f>INT(E54-'Standing data'!$D$11)*'Standing data'!$D$13</f>
        <v>4342.6499999999996</v>
      </c>
      <c r="O54" s="124">
        <f>INT(E54*'Standing data'!$B$19)</f>
        <v>169</v>
      </c>
      <c r="P54" s="109">
        <f t="shared" si="1"/>
        <v>38462.65</v>
      </c>
    </row>
    <row r="55" spans="1:16" ht="13" x14ac:dyDescent="0.3">
      <c r="A55" s="76"/>
      <c r="B55" s="2"/>
      <c r="C55" s="2"/>
      <c r="D55" s="76"/>
      <c r="E55" s="115"/>
      <c r="F55" s="90"/>
      <c r="G55" s="65"/>
      <c r="H55" s="90"/>
      <c r="I55" s="112"/>
      <c r="J55" s="116"/>
      <c r="K55" s="112"/>
      <c r="L55" s="117"/>
      <c r="M55" s="110"/>
      <c r="N55" s="112"/>
      <c r="O55" s="112"/>
      <c r="P55" s="114"/>
    </row>
    <row r="56" spans="1:16" ht="13" x14ac:dyDescent="0.3">
      <c r="A56" s="76">
        <v>22</v>
      </c>
      <c r="B56" s="3"/>
      <c r="C56" s="5"/>
      <c r="D56" s="76"/>
      <c r="E56" s="101">
        <v>31236</v>
      </c>
      <c r="F56" s="90"/>
      <c r="G56" s="88" t="s">
        <v>18</v>
      </c>
      <c r="H56" s="90"/>
      <c r="I56" s="124">
        <f>INT(E56-'Standing data'!$D$11)*'Standing data'!$D$13</f>
        <v>3935.3999999999996</v>
      </c>
      <c r="J56" s="125">
        <f>INT(E56*'Standing data'!$B$5)</f>
        <v>3748</v>
      </c>
      <c r="K56" s="124">
        <f>INT(E56*'Standing data'!$B$19)</f>
        <v>156</v>
      </c>
      <c r="L56" s="107">
        <f t="shared" si="2"/>
        <v>39075.4</v>
      </c>
      <c r="M56" s="110"/>
      <c r="N56" s="124">
        <f>INT(E56-'Standing data'!$D$11)*'Standing data'!$D$13</f>
        <v>3935.3999999999996</v>
      </c>
      <c r="O56" s="124">
        <f>INT(E56*'Standing data'!$B$19)</f>
        <v>156</v>
      </c>
      <c r="P56" s="109">
        <f t="shared" si="1"/>
        <v>35327.4</v>
      </c>
    </row>
    <row r="57" spans="1:16" ht="13" x14ac:dyDescent="0.3">
      <c r="A57" s="76">
        <v>21</v>
      </c>
      <c r="B57" s="3"/>
      <c r="C57" s="6"/>
      <c r="D57" s="76"/>
      <c r="E57" s="130">
        <v>30378</v>
      </c>
      <c r="F57" s="90"/>
      <c r="G57" s="88" t="s">
        <v>18</v>
      </c>
      <c r="H57" s="90"/>
      <c r="I57" s="124">
        <f>INT(E57-'Standing data'!$D$11)*'Standing data'!$D$13</f>
        <v>3806.7</v>
      </c>
      <c r="J57" s="125">
        <f>INT(E57*'Standing data'!$B$5)</f>
        <v>3645</v>
      </c>
      <c r="K57" s="124">
        <f>INT(E57*'Standing data'!$B$19)</f>
        <v>151</v>
      </c>
      <c r="L57" s="107">
        <f t="shared" si="2"/>
        <v>37980.699999999997</v>
      </c>
      <c r="M57" s="110"/>
      <c r="N57" s="124">
        <f>INT(E57-'Standing data'!$D$11)*'Standing data'!$D$13</f>
        <v>3806.7</v>
      </c>
      <c r="O57" s="124">
        <f>INT(E57*'Standing data'!$B$19)</f>
        <v>151</v>
      </c>
      <c r="P57" s="109">
        <f t="shared" si="1"/>
        <v>34335.699999999997</v>
      </c>
    </row>
    <row r="58" spans="1:16" ht="13" x14ac:dyDescent="0.3">
      <c r="A58" s="76">
        <v>20</v>
      </c>
      <c r="B58" s="20"/>
      <c r="C58" s="6"/>
      <c r="D58" s="76"/>
      <c r="E58" s="130">
        <v>29588</v>
      </c>
      <c r="F58" s="90"/>
      <c r="G58" s="88" t="s">
        <v>18</v>
      </c>
      <c r="H58" s="90"/>
      <c r="I58" s="124">
        <f>INT(E58-'Standing data'!$D$11)*'Standing data'!$D$13</f>
        <v>3688.2</v>
      </c>
      <c r="J58" s="125">
        <f>INT(E58*'Standing data'!$B$5)</f>
        <v>3550</v>
      </c>
      <c r="K58" s="124">
        <f>INT(E58*'Standing data'!$B$19)</f>
        <v>147</v>
      </c>
      <c r="L58" s="107">
        <f t="shared" si="2"/>
        <v>36973.199999999997</v>
      </c>
      <c r="M58" s="110"/>
      <c r="N58" s="124">
        <f>INT(E58-'Standing data'!$D$11)*'Standing data'!$D$13</f>
        <v>3688.2</v>
      </c>
      <c r="O58" s="124">
        <f>INT(E58*'Standing data'!$B$19)</f>
        <v>147</v>
      </c>
      <c r="P58" s="109">
        <f t="shared" si="1"/>
        <v>33423.199999999997</v>
      </c>
    </row>
    <row r="59" spans="1:16" ht="13" x14ac:dyDescent="0.3">
      <c r="A59" s="76">
        <v>19</v>
      </c>
      <c r="B59" s="20"/>
      <c r="C59" s="5"/>
      <c r="D59" s="76"/>
      <c r="E59" s="130">
        <v>28778</v>
      </c>
      <c r="F59" s="90"/>
      <c r="G59" s="88" t="s">
        <v>18</v>
      </c>
      <c r="H59" s="90"/>
      <c r="I59" s="124">
        <f>INT(E59-'Standing data'!$D$11)*'Standing data'!$D$13</f>
        <v>3566.7</v>
      </c>
      <c r="J59" s="125">
        <f>INT(E59*'Standing data'!$B$5)</f>
        <v>3453</v>
      </c>
      <c r="K59" s="124">
        <f>INT(E59*'Standing data'!$B$19)</f>
        <v>143</v>
      </c>
      <c r="L59" s="107">
        <f t="shared" si="2"/>
        <v>35940.699999999997</v>
      </c>
      <c r="M59" s="110"/>
      <c r="N59" s="124">
        <f>INT(E59-'Standing data'!$D$11)*'Standing data'!$D$13</f>
        <v>3566.7</v>
      </c>
      <c r="O59" s="124">
        <f>INT(E59*'Standing data'!$B$19)</f>
        <v>143</v>
      </c>
      <c r="P59" s="109">
        <f t="shared" si="1"/>
        <v>32487.7</v>
      </c>
    </row>
    <row r="60" spans="1:16" ht="13" x14ac:dyDescent="0.3">
      <c r="A60" s="76">
        <v>18</v>
      </c>
      <c r="B60" s="20"/>
      <c r="C60" s="6" t="s">
        <v>19</v>
      </c>
      <c r="D60" s="76"/>
      <c r="E60" s="130">
        <v>28031</v>
      </c>
      <c r="F60" s="90"/>
      <c r="G60" s="88" t="s">
        <v>18</v>
      </c>
      <c r="H60" s="90"/>
      <c r="I60" s="124">
        <f>INT(E60-'Standing data'!$D$11)*'Standing data'!$D$13</f>
        <v>3454.65</v>
      </c>
      <c r="J60" s="125">
        <f>INT(E60*'Standing data'!$B$5)</f>
        <v>3363</v>
      </c>
      <c r="K60" s="124">
        <f>INT(E60*'Standing data'!$B$19)</f>
        <v>140</v>
      </c>
      <c r="L60" s="107">
        <f t="shared" si="2"/>
        <v>34988.65</v>
      </c>
      <c r="M60" s="110"/>
      <c r="N60" s="124">
        <f>INT(E60-'Standing data'!$D$11)*'Standing data'!$D$13</f>
        <v>3454.65</v>
      </c>
      <c r="O60" s="124">
        <f>INT(E60*'Standing data'!$B$19)</f>
        <v>140</v>
      </c>
      <c r="P60" s="109">
        <f t="shared" si="1"/>
        <v>31625.65</v>
      </c>
    </row>
    <row r="61" spans="1:16" ht="13" x14ac:dyDescent="0.3">
      <c r="A61" s="76"/>
      <c r="B61" s="20"/>
      <c r="C61" s="3"/>
      <c r="D61" s="76"/>
      <c r="E61" s="118"/>
      <c r="F61" s="90"/>
      <c r="G61" s="65"/>
      <c r="H61" s="90"/>
      <c r="I61" s="112"/>
      <c r="J61" s="116"/>
      <c r="K61" s="112"/>
      <c r="L61" s="117"/>
      <c r="M61" s="110"/>
      <c r="N61" s="112"/>
      <c r="O61" s="112"/>
      <c r="P61" s="114"/>
    </row>
    <row r="62" spans="1:16" ht="26" x14ac:dyDescent="0.3">
      <c r="A62" s="76"/>
      <c r="B62" s="20"/>
      <c r="C62" s="3"/>
      <c r="D62" s="76"/>
      <c r="E62" s="209" t="s">
        <v>115</v>
      </c>
      <c r="F62" s="90"/>
      <c r="G62" s="65"/>
      <c r="H62" s="90"/>
      <c r="I62" s="112"/>
      <c r="J62" s="116"/>
      <c r="K62" s="112"/>
      <c r="L62" s="117"/>
      <c r="M62" s="110"/>
      <c r="N62" s="112"/>
      <c r="O62" s="112"/>
      <c r="P62" s="114"/>
    </row>
    <row r="63" spans="1:16" ht="13" x14ac:dyDescent="0.3">
      <c r="A63" s="76" t="s">
        <v>20</v>
      </c>
      <c r="B63" s="6"/>
      <c r="C63" s="2"/>
      <c r="D63" s="76"/>
      <c r="E63" s="101">
        <v>30339</v>
      </c>
      <c r="F63" s="90"/>
      <c r="G63" s="88" t="s">
        <v>18</v>
      </c>
      <c r="H63" s="90"/>
      <c r="I63" s="124">
        <f>INT(E63-'Standing data'!$D$11)*'Standing data'!$D$13</f>
        <v>3800.85</v>
      </c>
      <c r="J63" s="125">
        <f>INT(E63*'Standing data'!$B$5)</f>
        <v>3640</v>
      </c>
      <c r="K63" s="124">
        <f>INT(E63*'Standing data'!$B$19)</f>
        <v>151</v>
      </c>
      <c r="L63" s="107">
        <f t="shared" si="2"/>
        <v>37930.85</v>
      </c>
      <c r="M63" s="110"/>
      <c r="N63" s="124">
        <f>INT(E63-'Standing data'!$D$11)*'Standing data'!$D$13</f>
        <v>3800.85</v>
      </c>
      <c r="O63" s="124">
        <f>INT(E63*'Standing data'!$B$19)</f>
        <v>151</v>
      </c>
      <c r="P63" s="109">
        <f t="shared" si="1"/>
        <v>34290.85</v>
      </c>
    </row>
    <row r="64" spans="1:16" ht="13" x14ac:dyDescent="0.3">
      <c r="A64" s="76" t="s">
        <v>21</v>
      </c>
      <c r="B64" s="6"/>
      <c r="C64" s="2"/>
      <c r="D64" s="76"/>
      <c r="E64" s="101">
        <v>29744</v>
      </c>
      <c r="F64" s="90"/>
      <c r="G64" s="88" t="s">
        <v>18</v>
      </c>
      <c r="H64" s="90"/>
      <c r="I64" s="124">
        <f>INT(E64-'Standing data'!$D$11)*'Standing data'!$D$13</f>
        <v>3711.6</v>
      </c>
      <c r="J64" s="125">
        <f>INT(E64*'Standing data'!$B$5)</f>
        <v>3569</v>
      </c>
      <c r="K64" s="124">
        <f>INT(E64*'Standing data'!$B$19)</f>
        <v>148</v>
      </c>
      <c r="L64" s="107">
        <f t="shared" si="2"/>
        <v>37172.6</v>
      </c>
      <c r="M64" s="110"/>
      <c r="N64" s="124">
        <f>INT(E64-'Standing data'!$D$11)*'Standing data'!$D$13</f>
        <v>3711.6</v>
      </c>
      <c r="O64" s="124">
        <f>INT(E64*'Standing data'!$B$19)</f>
        <v>148</v>
      </c>
      <c r="P64" s="109">
        <f t="shared" si="1"/>
        <v>33603.599999999999</v>
      </c>
    </row>
    <row r="65" spans="1:17" ht="13" x14ac:dyDescent="0.3">
      <c r="A65" s="76" t="s">
        <v>22</v>
      </c>
      <c r="B65" s="5"/>
      <c r="C65" s="2"/>
      <c r="D65" s="76"/>
      <c r="E65" s="101">
        <v>29161</v>
      </c>
      <c r="F65" s="90"/>
      <c r="G65" s="88" t="s">
        <v>18</v>
      </c>
      <c r="H65" s="90"/>
      <c r="I65" s="124">
        <f>INT(E65-'Standing data'!$D$11)*'Standing data'!$D$13</f>
        <v>3624.15</v>
      </c>
      <c r="J65" s="125">
        <f>INT(E65*'Standing data'!$B$5)</f>
        <v>3499</v>
      </c>
      <c r="K65" s="124">
        <f>INT(E65*'Standing data'!$B$19)</f>
        <v>145</v>
      </c>
      <c r="L65" s="107">
        <f t="shared" si="2"/>
        <v>36429.15</v>
      </c>
      <c r="M65" s="110"/>
      <c r="N65" s="124">
        <f>INT(E65-'Standing data'!$D$11)*'Standing data'!$D$13</f>
        <v>3624.15</v>
      </c>
      <c r="O65" s="124">
        <f>INT(E65*'Standing data'!$B$19)</f>
        <v>145</v>
      </c>
      <c r="P65" s="109">
        <f t="shared" si="1"/>
        <v>32930.15</v>
      </c>
    </row>
    <row r="66" spans="1:17" ht="13" x14ac:dyDescent="0.3">
      <c r="A66" s="76" t="s">
        <v>23</v>
      </c>
      <c r="B66" s="5"/>
      <c r="C66" s="2"/>
      <c r="D66" s="76"/>
      <c r="E66" s="101">
        <v>28589</v>
      </c>
      <c r="F66" s="90"/>
      <c r="G66" s="88" t="s">
        <v>18</v>
      </c>
      <c r="H66" s="90"/>
      <c r="I66" s="124">
        <f>INT(E66-'Standing data'!$D$11)*'Standing data'!$D$13</f>
        <v>3538.35</v>
      </c>
      <c r="J66" s="125">
        <f>INT(E66*'Standing data'!$B$5)</f>
        <v>3430</v>
      </c>
      <c r="K66" s="124">
        <f>INT(E66*'Standing data'!$B$19)</f>
        <v>142</v>
      </c>
      <c r="L66" s="107">
        <f t="shared" si="2"/>
        <v>35699.35</v>
      </c>
      <c r="M66" s="110"/>
      <c r="N66" s="124">
        <f>INT(E66-'Standing data'!$D$11)*'Standing data'!$D$13</f>
        <v>3538.35</v>
      </c>
      <c r="O66" s="124">
        <f>INT(E66*'Standing data'!$B$19)</f>
        <v>142</v>
      </c>
      <c r="P66" s="109">
        <f t="shared" si="1"/>
        <v>32269.35</v>
      </c>
    </row>
    <row r="67" spans="1:17" ht="13" x14ac:dyDescent="0.3">
      <c r="A67" s="76" t="s">
        <v>24</v>
      </c>
      <c r="B67" s="6" t="s">
        <v>25</v>
      </c>
      <c r="C67" s="3"/>
      <c r="D67" s="76"/>
      <c r="E67" s="101">
        <v>28029</v>
      </c>
      <c r="F67" s="90"/>
      <c r="G67" s="88" t="s">
        <v>18</v>
      </c>
      <c r="H67" s="90"/>
      <c r="I67" s="124">
        <f>INT(E67-'Standing data'!$D$11)*'Standing data'!$D$13</f>
        <v>3454.35</v>
      </c>
      <c r="J67" s="125">
        <f>INT(E67*'Standing data'!$B$5)</f>
        <v>3363</v>
      </c>
      <c r="K67" s="124">
        <f>INT(E67*'Standing data'!$B$19)</f>
        <v>140</v>
      </c>
      <c r="L67" s="107">
        <f t="shared" si="2"/>
        <v>34986.35</v>
      </c>
      <c r="M67" s="110"/>
      <c r="N67" s="124">
        <f>INT(E67-'Standing data'!$D$11)*'Standing data'!$D$13</f>
        <v>3454.35</v>
      </c>
      <c r="O67" s="124">
        <f>INT(E67*'Standing data'!$B$19)</f>
        <v>140</v>
      </c>
      <c r="P67" s="109">
        <f t="shared" si="1"/>
        <v>31623.35</v>
      </c>
    </row>
    <row r="68" spans="1:17" ht="13" x14ac:dyDescent="0.3">
      <c r="A68" s="76" t="s">
        <v>26</v>
      </c>
      <c r="B68" s="2"/>
      <c r="C68" s="85"/>
      <c r="D68" s="76"/>
      <c r="E68" s="101">
        <v>26694</v>
      </c>
      <c r="F68" s="90"/>
      <c r="G68" s="88" t="s">
        <v>18</v>
      </c>
      <c r="H68" s="90"/>
      <c r="I68" s="124">
        <f>INT(E68-'Standing data'!$D$11)*'Standing data'!$D$13</f>
        <v>3254.1</v>
      </c>
      <c r="J68" s="125">
        <f>INT(E68*'Standing data'!$B$5)</f>
        <v>3203</v>
      </c>
      <c r="K68" s="124">
        <f>INT(E68*'Standing data'!$B$19)</f>
        <v>133</v>
      </c>
      <c r="L68" s="107">
        <f t="shared" si="2"/>
        <v>33284.1</v>
      </c>
      <c r="M68" s="110"/>
      <c r="N68" s="124">
        <f>INT(E68-'Standing data'!$D$11)*'Standing data'!$D$13</f>
        <v>3254.1</v>
      </c>
      <c r="O68" s="124">
        <f>INT(E68*'Standing data'!$B$19)</f>
        <v>133</v>
      </c>
      <c r="P68" s="109">
        <f t="shared" si="1"/>
        <v>30081.1</v>
      </c>
    </row>
    <row r="69" spans="1:17" ht="13" x14ac:dyDescent="0.3">
      <c r="A69" s="76" t="s">
        <v>27</v>
      </c>
      <c r="B69" s="3"/>
      <c r="C69" s="85"/>
      <c r="D69" s="76"/>
      <c r="E69" s="101">
        <v>26300</v>
      </c>
      <c r="F69" s="90"/>
      <c r="G69" s="88" t="s">
        <v>18</v>
      </c>
      <c r="H69" s="90"/>
      <c r="I69" s="124">
        <f>INT(E69-'Standing data'!$D$11)*'Standing data'!$D$13</f>
        <v>3195</v>
      </c>
      <c r="J69" s="125">
        <f>INT(E69*'Standing data'!$B$5)</f>
        <v>3156</v>
      </c>
      <c r="K69" s="124">
        <f>INT(E69*'Standing data'!$B$19)</f>
        <v>131</v>
      </c>
      <c r="L69" s="107">
        <f t="shared" si="2"/>
        <v>32782</v>
      </c>
      <c r="M69" s="110"/>
      <c r="N69" s="124">
        <f>INT(E69-'Standing data'!$D$11)*'Standing data'!$D$13</f>
        <v>3195</v>
      </c>
      <c r="O69" s="124">
        <f>INT(E69*'Standing data'!$B$19)</f>
        <v>131</v>
      </c>
      <c r="P69" s="109">
        <f t="shared" si="1"/>
        <v>29626</v>
      </c>
    </row>
    <row r="70" spans="1:17" ht="13" x14ac:dyDescent="0.3">
      <c r="A70" s="76" t="s">
        <v>28</v>
      </c>
      <c r="B70" s="2"/>
      <c r="C70" s="5"/>
      <c r="D70" s="76"/>
      <c r="E70" s="101">
        <v>25911</v>
      </c>
      <c r="F70" s="90"/>
      <c r="G70" s="88" t="s">
        <v>18</v>
      </c>
      <c r="H70" s="90"/>
      <c r="I70" s="124">
        <f>INT(E70-'Standing data'!$D$11)*'Standing data'!$D$13</f>
        <v>3136.65</v>
      </c>
      <c r="J70" s="125">
        <f>INT(E70*'Standing data'!$B$5)</f>
        <v>3109</v>
      </c>
      <c r="K70" s="124">
        <f>INT(E70*'Standing data'!$B$19)</f>
        <v>129</v>
      </c>
      <c r="L70" s="107">
        <f t="shared" si="2"/>
        <v>32285.65</v>
      </c>
      <c r="M70" s="110"/>
      <c r="N70" s="124">
        <f>INT(E70-'Standing data'!$D$11)*'Standing data'!$D$13</f>
        <v>3136.65</v>
      </c>
      <c r="O70" s="124">
        <f>INT(E70*'Standing data'!$B$19)</f>
        <v>129</v>
      </c>
      <c r="P70" s="109">
        <f t="shared" si="1"/>
        <v>29176.65</v>
      </c>
    </row>
    <row r="71" spans="1:17" ht="13" x14ac:dyDescent="0.3">
      <c r="A71" s="76" t="s">
        <v>29</v>
      </c>
      <c r="B71" s="3"/>
      <c r="C71" s="6" t="s">
        <v>30</v>
      </c>
      <c r="D71" s="76"/>
      <c r="E71" s="101">
        <v>25528</v>
      </c>
      <c r="F71" s="90"/>
      <c r="G71" s="88" t="s">
        <v>18</v>
      </c>
      <c r="H71" s="90"/>
      <c r="I71" s="124">
        <f>INT(E71-'Standing data'!$D$11)*'Standing data'!$D$13</f>
        <v>3079.2</v>
      </c>
      <c r="J71" s="125">
        <f>INT(E71*'Standing data'!$B$5)</f>
        <v>3063</v>
      </c>
      <c r="K71" s="124">
        <f>INT(E71*'Standing data'!$B$19)</f>
        <v>127</v>
      </c>
      <c r="L71" s="107">
        <f t="shared" si="2"/>
        <v>31797.200000000001</v>
      </c>
      <c r="M71" s="110"/>
      <c r="N71" s="124">
        <f>INT(E71-'Standing data'!$D$11)*'Standing data'!$D$13</f>
        <v>3079.2</v>
      </c>
      <c r="O71" s="124">
        <f>INT(E71*'Standing data'!$B$19)</f>
        <v>127</v>
      </c>
      <c r="P71" s="109">
        <f t="shared" si="1"/>
        <v>28734.2</v>
      </c>
    </row>
    <row r="72" spans="1:17" ht="24.75" customHeight="1" x14ac:dyDescent="0.3">
      <c r="A72" s="15"/>
      <c r="B72" s="3"/>
      <c r="C72" s="20"/>
      <c r="D72" s="76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9"/>
    </row>
    <row r="73" spans="1:17" ht="24.75" customHeight="1" x14ac:dyDescent="0.3">
      <c r="A73" s="12"/>
      <c r="B73" s="20"/>
      <c r="D73" s="76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9"/>
    </row>
    <row r="74" spans="1:17" x14ac:dyDescent="0.25">
      <c r="A74" s="138" t="s">
        <v>31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138" t="s">
        <v>32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86"/>
    </row>
    <row r="76" spans="1:17" ht="13" x14ac:dyDescent="0.3">
      <c r="A76" s="66" t="s">
        <v>33</v>
      </c>
      <c r="B76" s="20"/>
      <c r="C76" s="20"/>
      <c r="D76" s="76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119"/>
    </row>
    <row r="77" spans="1:17" ht="13" x14ac:dyDescent="0.3">
      <c r="A77" s="16" t="s">
        <v>34</v>
      </c>
      <c r="B77" s="20"/>
      <c r="C77" s="20"/>
      <c r="D77" s="76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119"/>
    </row>
    <row r="78" spans="1:17" ht="13" x14ac:dyDescent="0.3">
      <c r="A78" s="16"/>
      <c r="B78" s="20"/>
      <c r="C78" s="20"/>
      <c r="D78" s="76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119"/>
    </row>
    <row r="79" spans="1:17" ht="13" x14ac:dyDescent="0.3">
      <c r="A79" s="76"/>
      <c r="B79" s="20"/>
      <c r="C79" s="20"/>
      <c r="D79" s="76"/>
      <c r="E79" s="11"/>
      <c r="F79" s="11"/>
      <c r="G79" s="131" t="s">
        <v>5</v>
      </c>
      <c r="H79" s="132"/>
      <c r="I79" s="132"/>
      <c r="J79" s="132"/>
      <c r="K79" s="132"/>
      <c r="L79" s="133"/>
      <c r="M79" s="11"/>
      <c r="N79" s="11"/>
      <c r="O79" s="11"/>
      <c r="P79" s="11"/>
    </row>
    <row r="80" spans="1:17" ht="40.5" customHeight="1" x14ac:dyDescent="0.35">
      <c r="A80" s="78" t="s">
        <v>7</v>
      </c>
      <c r="B80" s="20"/>
      <c r="C80" s="20"/>
      <c r="D80" s="76"/>
      <c r="E80" s="120" t="s">
        <v>114</v>
      </c>
      <c r="F80" s="13"/>
      <c r="G80" s="121" t="s">
        <v>8</v>
      </c>
      <c r="H80" s="13"/>
      <c r="I80" s="87" t="s">
        <v>9</v>
      </c>
      <c r="J80" s="82" t="s">
        <v>10</v>
      </c>
      <c r="K80" s="67" t="s">
        <v>11</v>
      </c>
      <c r="L80" s="106" t="s">
        <v>12</v>
      </c>
      <c r="M80" s="10"/>
      <c r="N80" s="10"/>
      <c r="O80" s="10"/>
      <c r="P80" s="122"/>
    </row>
    <row r="81" spans="1:16" ht="13" x14ac:dyDescent="0.3">
      <c r="A81" s="76">
        <v>31</v>
      </c>
      <c r="B81" s="70"/>
      <c r="C81" s="2"/>
      <c r="D81" s="76"/>
      <c r="E81" s="101">
        <v>39906</v>
      </c>
      <c r="F81" s="90"/>
      <c r="G81" s="123" t="s">
        <v>18</v>
      </c>
      <c r="H81" s="90"/>
      <c r="I81" s="124">
        <f>INT(E81-'Standing data'!$D$11)*'Standing data'!$D$13</f>
        <v>5235.8999999999996</v>
      </c>
      <c r="J81" s="125">
        <f>INT(E81*'Standing data'!$B$5)</f>
        <v>4788</v>
      </c>
      <c r="K81" s="124">
        <f>INT(E81*'Standing data'!$B$19)</f>
        <v>199</v>
      </c>
      <c r="L81" s="126">
        <f t="shared" ref="L81:L87" si="3">E81+I81+J81+K81</f>
        <v>50128.9</v>
      </c>
      <c r="M81" s="65"/>
      <c r="N81" s="92"/>
      <c r="O81" s="92"/>
      <c r="P81" s="127"/>
    </row>
    <row r="82" spans="1:16" ht="13" x14ac:dyDescent="0.3">
      <c r="A82" s="76">
        <v>30</v>
      </c>
      <c r="B82" s="70"/>
      <c r="C82" s="2"/>
      <c r="D82" s="76"/>
      <c r="E82" s="130">
        <v>38784</v>
      </c>
      <c r="F82" s="90"/>
      <c r="G82" s="123" t="s">
        <v>18</v>
      </c>
      <c r="H82" s="90"/>
      <c r="I82" s="124">
        <f>INT(E82-'Standing data'!$D$11)*'Standing data'!$D$13</f>
        <v>5067.5999999999995</v>
      </c>
      <c r="J82" s="125">
        <f>INT(E82*'Standing data'!$B$5)</f>
        <v>4654</v>
      </c>
      <c r="K82" s="124">
        <f>INT(E82*'Standing data'!$B$19)</f>
        <v>193</v>
      </c>
      <c r="L82" s="126">
        <f t="shared" si="3"/>
        <v>48698.6</v>
      </c>
      <c r="M82" s="65"/>
      <c r="N82" s="92"/>
      <c r="O82" s="92"/>
      <c r="P82" s="127"/>
    </row>
    <row r="83" spans="1:16" ht="13" x14ac:dyDescent="0.3">
      <c r="A83" s="76">
        <v>29</v>
      </c>
      <c r="B83" s="83"/>
      <c r="C83" s="2"/>
      <c r="D83" s="76"/>
      <c r="E83" s="130">
        <v>37694</v>
      </c>
      <c r="F83" s="90"/>
      <c r="G83" s="123" t="s">
        <v>18</v>
      </c>
      <c r="H83" s="90"/>
      <c r="I83" s="124">
        <f>INT(E83-'Standing data'!$D$11)*'Standing data'!$D$13</f>
        <v>4904.0999999999995</v>
      </c>
      <c r="J83" s="125">
        <f>INT(E83*'Standing data'!$B$5)</f>
        <v>4523</v>
      </c>
      <c r="K83" s="124">
        <f>INT(E83*'Standing data'!$B$19)</f>
        <v>188</v>
      </c>
      <c r="L83" s="126">
        <f t="shared" si="3"/>
        <v>47309.1</v>
      </c>
      <c r="M83" s="65"/>
      <c r="N83" s="92"/>
      <c r="O83" s="92"/>
      <c r="P83" s="127"/>
    </row>
    <row r="84" spans="1:16" ht="13" x14ac:dyDescent="0.3">
      <c r="A84" s="76">
        <v>28</v>
      </c>
      <c r="B84" s="83"/>
      <c r="C84" s="2"/>
      <c r="D84" s="76"/>
      <c r="E84" s="130">
        <v>36636</v>
      </c>
      <c r="F84" s="90"/>
      <c r="G84" s="123" t="s">
        <v>18</v>
      </c>
      <c r="H84" s="90"/>
      <c r="I84" s="124">
        <f>INT(E84-'Standing data'!$D$11)*'Standing data'!$D$13</f>
        <v>4745.3999999999996</v>
      </c>
      <c r="J84" s="125">
        <f>INT(E84*'Standing data'!$B$5)</f>
        <v>4396</v>
      </c>
      <c r="K84" s="124">
        <f>INT(E84*'Standing data'!$B$19)</f>
        <v>183</v>
      </c>
      <c r="L84" s="126">
        <f t="shared" si="3"/>
        <v>45960.4</v>
      </c>
      <c r="M84" s="65"/>
      <c r="N84" s="92"/>
      <c r="O84" s="92"/>
      <c r="P84" s="127"/>
    </row>
    <row r="85" spans="1:16" ht="13" x14ac:dyDescent="0.3">
      <c r="A85" s="76">
        <v>27</v>
      </c>
      <c r="B85" s="7"/>
      <c r="C85" s="2"/>
      <c r="D85" s="80"/>
      <c r="E85" s="130">
        <v>35608</v>
      </c>
      <c r="F85" s="90"/>
      <c r="G85" s="123" t="s">
        <v>18</v>
      </c>
      <c r="H85" s="90"/>
      <c r="I85" s="124">
        <f>INT(E85-'Standing data'!$D$11)*'Standing data'!$D$13</f>
        <v>4591.2</v>
      </c>
      <c r="J85" s="125">
        <f>INT(E85*'Standing data'!$B$5)</f>
        <v>4272</v>
      </c>
      <c r="K85" s="124">
        <f>INT(E85*'Standing data'!$B$19)</f>
        <v>178</v>
      </c>
      <c r="L85" s="126">
        <f t="shared" si="3"/>
        <v>44649.2</v>
      </c>
      <c r="M85" s="65"/>
      <c r="N85" s="92"/>
      <c r="O85" s="92"/>
      <c r="P85" s="127"/>
    </row>
    <row r="86" spans="1:16" ht="13" x14ac:dyDescent="0.3">
      <c r="A86" s="76">
        <v>26</v>
      </c>
      <c r="B86" s="5"/>
      <c r="C86" s="2"/>
      <c r="D86" s="76"/>
      <c r="E86" s="130">
        <v>34610</v>
      </c>
      <c r="F86" s="90"/>
      <c r="G86" s="123" t="s">
        <v>18</v>
      </c>
      <c r="H86" s="90"/>
      <c r="I86" s="124">
        <f>INT(E86-'Standing data'!$D$11)*'Standing data'!$D$13</f>
        <v>4441.5</v>
      </c>
      <c r="J86" s="125">
        <f>INT(E86*'Standing data'!$B$5)</f>
        <v>4153</v>
      </c>
      <c r="K86" s="124">
        <f>INT(E86*'Standing data'!$B$19)</f>
        <v>173</v>
      </c>
      <c r="L86" s="126">
        <f t="shared" si="3"/>
        <v>43377.5</v>
      </c>
      <c r="M86" s="65"/>
      <c r="N86" s="92"/>
      <c r="O86" s="92"/>
      <c r="P86" s="127"/>
    </row>
    <row r="87" spans="1:16" ht="13" x14ac:dyDescent="0.3">
      <c r="A87" s="76">
        <v>25</v>
      </c>
      <c r="B87" s="6" t="s">
        <v>17</v>
      </c>
      <c r="C87" s="2"/>
      <c r="D87" s="76"/>
      <c r="E87" s="130">
        <v>33951</v>
      </c>
      <c r="F87" s="91"/>
      <c r="G87" s="123" t="s">
        <v>18</v>
      </c>
      <c r="H87" s="91"/>
      <c r="I87" s="124">
        <f>INT(E87-'Standing data'!$D$11)*'Standing data'!$D$13</f>
        <v>4342.6499999999996</v>
      </c>
      <c r="J87" s="125">
        <f>INT(E87*'Standing data'!$B$5)</f>
        <v>4074</v>
      </c>
      <c r="K87" s="124">
        <f>INT(E87*'Standing data'!$B$19)</f>
        <v>169</v>
      </c>
      <c r="L87" s="126">
        <f t="shared" si="3"/>
        <v>42536.65</v>
      </c>
      <c r="M87" s="65"/>
      <c r="N87" s="92"/>
      <c r="O87" s="92"/>
      <c r="P87" s="127"/>
    </row>
  </sheetData>
  <mergeCells count="6">
    <mergeCell ref="G79:L79"/>
    <mergeCell ref="A5:Q5"/>
    <mergeCell ref="G7:L7"/>
    <mergeCell ref="N7:P7"/>
    <mergeCell ref="A74:Q74"/>
    <mergeCell ref="A75:P75"/>
  </mergeCells>
  <phoneticPr fontId="8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D19" sqref="D19"/>
    </sheetView>
  </sheetViews>
  <sheetFormatPr defaultColWidth="9.1796875" defaultRowHeight="12.5" x14ac:dyDescent="0.25"/>
  <cols>
    <col min="1" max="1" width="32.54296875" style="1" customWidth="1"/>
    <col min="2" max="2" width="13.1796875" style="1" customWidth="1"/>
    <col min="3" max="3" width="11" style="1" customWidth="1"/>
    <col min="4" max="4" width="11.81640625" style="1" customWidth="1"/>
    <col min="5" max="16384" width="9.1796875" style="1"/>
  </cols>
  <sheetData>
    <row r="1" spans="1:4" ht="13" x14ac:dyDescent="0.3">
      <c r="A1" s="9" t="s">
        <v>35</v>
      </c>
      <c r="B1" s="94">
        <v>45717</v>
      </c>
      <c r="C1" s="95"/>
      <c r="D1" s="20"/>
    </row>
    <row r="2" spans="1:4" ht="13" x14ac:dyDescent="0.3">
      <c r="A2" s="9" t="s">
        <v>36</v>
      </c>
      <c r="B2" s="96">
        <v>45753</v>
      </c>
      <c r="C2" s="20"/>
      <c r="D2" s="20"/>
    </row>
    <row r="3" spans="1:4" ht="13" x14ac:dyDescent="0.3">
      <c r="A3" s="9"/>
      <c r="B3" s="20"/>
      <c r="C3" s="20"/>
      <c r="D3" s="20"/>
    </row>
    <row r="4" spans="1:4" ht="13" x14ac:dyDescent="0.3">
      <c r="A4" s="9" t="s">
        <v>37</v>
      </c>
      <c r="B4" s="128">
        <v>0.14499999999999999</v>
      </c>
      <c r="C4" s="20"/>
      <c r="D4" s="20"/>
    </row>
    <row r="5" spans="1:4" ht="13" x14ac:dyDescent="0.3">
      <c r="A5" s="9" t="s">
        <v>38</v>
      </c>
      <c r="B5" s="128">
        <v>0.12</v>
      </c>
      <c r="C5" s="20"/>
      <c r="D5" s="20"/>
    </row>
    <row r="6" spans="1:4" ht="13" x14ac:dyDescent="0.3">
      <c r="A6" s="9" t="s">
        <v>108</v>
      </c>
      <c r="B6" s="128">
        <v>0.23780000000000001</v>
      </c>
      <c r="C6" s="20"/>
      <c r="D6" s="20"/>
    </row>
    <row r="7" spans="1:4" ht="13" x14ac:dyDescent="0.3">
      <c r="A7" s="9"/>
      <c r="B7" s="129"/>
      <c r="C7" s="20"/>
      <c r="D7" s="20"/>
    </row>
    <row r="9" spans="1:4" ht="13" x14ac:dyDescent="0.3">
      <c r="A9" s="9" t="s">
        <v>113</v>
      </c>
      <c r="B9" s="19" t="s">
        <v>39</v>
      </c>
      <c r="C9" s="19" t="s">
        <v>40</v>
      </c>
      <c r="D9" s="19" t="s">
        <v>41</v>
      </c>
    </row>
    <row r="10" spans="1:4" x14ac:dyDescent="0.25">
      <c r="A10" s="20" t="s">
        <v>42</v>
      </c>
      <c r="B10" s="97">
        <f>D10/52</f>
        <v>125</v>
      </c>
      <c r="C10" s="97">
        <f>D10/12</f>
        <v>541.66666666666663</v>
      </c>
      <c r="D10" s="98">
        <v>6500</v>
      </c>
    </row>
    <row r="11" spans="1:4" x14ac:dyDescent="0.25">
      <c r="A11" s="20" t="s">
        <v>43</v>
      </c>
      <c r="B11" s="97">
        <f>D11/52</f>
        <v>96.15384615384616</v>
      </c>
      <c r="C11" s="97">
        <f>D11/12</f>
        <v>416.66666666666669</v>
      </c>
      <c r="D11" s="98">
        <v>5000</v>
      </c>
    </row>
    <row r="12" spans="1:4" x14ac:dyDescent="0.25">
      <c r="A12" s="20" t="s">
        <v>44</v>
      </c>
      <c r="B12" s="97">
        <f>D12/52</f>
        <v>966.73076923076928</v>
      </c>
      <c r="C12" s="97">
        <f>D12/12</f>
        <v>4189.166666666667</v>
      </c>
      <c r="D12" s="98">
        <v>50270</v>
      </c>
    </row>
    <row r="13" spans="1:4" x14ac:dyDescent="0.25">
      <c r="A13" s="20" t="s">
        <v>45</v>
      </c>
      <c r="B13" s="20"/>
      <c r="C13" s="20"/>
      <c r="D13" s="99">
        <v>0.15</v>
      </c>
    </row>
    <row r="14" spans="1:4" x14ac:dyDescent="0.25">
      <c r="A14" s="20" t="s">
        <v>46</v>
      </c>
      <c r="B14" s="46" t="s">
        <v>47</v>
      </c>
      <c r="C14" s="20"/>
      <c r="D14" s="20"/>
    </row>
    <row r="15" spans="1:4" x14ac:dyDescent="0.25">
      <c r="A15" s="20" t="s">
        <v>48</v>
      </c>
      <c r="B15" s="46" t="s">
        <v>49</v>
      </c>
      <c r="C15" s="20"/>
      <c r="D15" s="20"/>
    </row>
    <row r="19" spans="1:2" ht="13" x14ac:dyDescent="0.3">
      <c r="A19" s="9" t="s">
        <v>11</v>
      </c>
      <c r="B19" s="100">
        <v>5.0000000000000001E-3</v>
      </c>
    </row>
    <row r="23" spans="1:2" ht="13" x14ac:dyDescent="0.3">
      <c r="A23" s="9" t="s">
        <v>109</v>
      </c>
      <c r="B23" s="20" t="s">
        <v>50</v>
      </c>
    </row>
    <row r="24" spans="1:2" x14ac:dyDescent="0.25">
      <c r="B24" s="20" t="s">
        <v>18</v>
      </c>
    </row>
    <row r="25" spans="1:2" x14ac:dyDescent="0.25">
      <c r="B25" s="20" t="s">
        <v>13</v>
      </c>
    </row>
    <row r="26" spans="1:2" x14ac:dyDescent="0.25">
      <c r="B26" s="20" t="s">
        <v>54</v>
      </c>
    </row>
  </sheetData>
  <phoneticPr fontId="0" type="noConversion"/>
  <hyperlinks>
    <hyperlink ref="B14" r:id="rId1" xr:uid="{00000000-0004-0000-0100-000000000000}"/>
  </hyperlinks>
  <printOptions headings="1"/>
  <pageMargins left="0.74803149606299213" right="0.74803149606299213" top="0.98425196850393704" bottom="0.98425196850393704" header="0.51181102362204722" footer="0.51181102362204722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65"/>
  <sheetViews>
    <sheetView showGridLines="0" tabSelected="1" workbookViewId="0">
      <selection activeCell="C8" sqref="C8"/>
    </sheetView>
  </sheetViews>
  <sheetFormatPr defaultColWidth="3.7265625" defaultRowHeight="12.5" x14ac:dyDescent="0.25"/>
  <cols>
    <col min="1" max="1" width="2" customWidth="1"/>
    <col min="2" max="2" width="1.81640625" customWidth="1"/>
    <col min="6" max="6" width="3.7265625" customWidth="1"/>
    <col min="21" max="21" width="6" bestFit="1" customWidth="1"/>
    <col min="22" max="22" width="3.26953125" customWidth="1"/>
    <col min="30" max="30" width="2.1796875" customWidth="1"/>
    <col min="33" max="33" width="5.81640625" bestFit="1" customWidth="1"/>
    <col min="47" max="47" width="4.453125" customWidth="1"/>
    <col min="49" max="98" width="3.7265625" style="38" customWidth="1"/>
    <col min="99" max="16384" width="3.7265625" style="38"/>
  </cols>
  <sheetData>
    <row r="1" spans="3:53" x14ac:dyDescent="0.25">
      <c r="AW1" s="48"/>
      <c r="AX1" s="48"/>
      <c r="AY1" s="48"/>
      <c r="AZ1" s="48"/>
      <c r="BA1" s="48"/>
    </row>
    <row r="2" spans="3:53" x14ac:dyDescent="0.25">
      <c r="AW2" s="48"/>
      <c r="AX2" s="48"/>
      <c r="AY2" s="48"/>
      <c r="AZ2" s="48"/>
      <c r="BA2" s="48"/>
    </row>
    <row r="3" spans="3:53" ht="15" customHeight="1" x14ac:dyDescent="0.3">
      <c r="N3" s="47" t="s">
        <v>51</v>
      </c>
      <c r="AW3" s="48"/>
      <c r="AX3" s="48"/>
      <c r="AY3" s="48"/>
      <c r="AZ3" s="48"/>
      <c r="BA3" s="48"/>
    </row>
    <row r="4" spans="3:53" ht="12.75" customHeight="1" x14ac:dyDescent="0.3">
      <c r="N4" s="45" t="s">
        <v>52</v>
      </c>
      <c r="AF4" s="49" t="s">
        <v>53</v>
      </c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31"/>
      <c r="AW4" s="48"/>
      <c r="AX4" s="48"/>
      <c r="AY4" s="48"/>
      <c r="AZ4" s="48"/>
      <c r="BA4" s="48"/>
    </row>
    <row r="5" spans="3:53" x14ac:dyDescent="0.25">
      <c r="AF5" s="50" t="s">
        <v>55</v>
      </c>
      <c r="AG5" s="51"/>
      <c r="AH5" s="51"/>
      <c r="AI5" s="51"/>
      <c r="AJ5" s="51"/>
      <c r="AK5" s="51"/>
      <c r="AL5" s="51"/>
      <c r="AM5" s="51"/>
      <c r="AN5" s="51"/>
      <c r="AU5" s="32"/>
      <c r="AW5" s="48"/>
      <c r="AX5" s="48"/>
      <c r="AY5" s="48"/>
      <c r="AZ5" s="48"/>
      <c r="BA5" s="48"/>
    </row>
    <row r="6" spans="3:53" x14ac:dyDescent="0.25">
      <c r="N6" s="20" t="s">
        <v>56</v>
      </c>
      <c r="AF6" s="52" t="s">
        <v>57</v>
      </c>
      <c r="AG6" s="51"/>
      <c r="AH6" s="51"/>
      <c r="AI6" s="51"/>
      <c r="AJ6" s="51"/>
      <c r="AK6" s="51"/>
      <c r="AL6" s="51"/>
      <c r="AM6" s="51"/>
      <c r="AN6" s="51"/>
      <c r="AU6" s="32"/>
      <c r="AW6" s="48"/>
      <c r="AX6" s="48"/>
      <c r="AY6" s="48"/>
      <c r="AZ6" s="48"/>
      <c r="BA6" s="48"/>
    </row>
    <row r="7" spans="3:53" ht="12.75" customHeight="1" x14ac:dyDescent="0.25">
      <c r="N7" s="20" t="s">
        <v>58</v>
      </c>
      <c r="AF7" s="53" t="s">
        <v>59</v>
      </c>
      <c r="AG7" s="51"/>
      <c r="AH7" s="51"/>
      <c r="AI7" s="51"/>
      <c r="AJ7" s="51"/>
      <c r="AK7" s="51"/>
      <c r="AL7" s="51"/>
      <c r="AM7" s="51"/>
      <c r="AN7" s="51"/>
      <c r="AU7" s="32"/>
      <c r="AW7" s="48"/>
      <c r="AX7" s="48"/>
      <c r="AY7" s="48"/>
      <c r="AZ7" s="48"/>
      <c r="BA7" s="48"/>
    </row>
    <row r="8" spans="3:53" ht="12.75" customHeight="1" x14ac:dyDescent="0.25">
      <c r="AF8" s="54" t="s">
        <v>60</v>
      </c>
      <c r="AG8" s="51"/>
      <c r="AH8" s="51"/>
      <c r="AI8" s="51"/>
      <c r="AJ8" s="51"/>
      <c r="AK8" s="51"/>
      <c r="AL8" s="51"/>
      <c r="AM8" s="51"/>
      <c r="AN8" s="51"/>
      <c r="AU8" s="32"/>
      <c r="AW8" s="48"/>
      <c r="AX8" s="48"/>
      <c r="AY8" s="48"/>
      <c r="AZ8" s="48"/>
      <c r="BA8" s="48"/>
    </row>
    <row r="9" spans="3:53" ht="12.75" customHeight="1" x14ac:dyDescent="0.3">
      <c r="C9" s="9"/>
      <c r="O9" s="9" t="s">
        <v>61</v>
      </c>
      <c r="P9" s="9"/>
      <c r="Q9" s="9"/>
      <c r="R9" s="9"/>
      <c r="S9" s="9"/>
      <c r="T9" s="9"/>
      <c r="U9" s="9"/>
      <c r="V9" s="9"/>
      <c r="W9" s="9" t="s">
        <v>62</v>
      </c>
      <c r="X9" s="9"/>
      <c r="Y9" s="9"/>
      <c r="Z9" s="9"/>
      <c r="AA9" s="9"/>
      <c r="AF9" s="52" t="s">
        <v>110</v>
      </c>
      <c r="AG9" s="51"/>
      <c r="AH9" s="51"/>
      <c r="AI9" s="51"/>
      <c r="AJ9" s="51"/>
      <c r="AK9" s="51"/>
      <c r="AL9" s="51"/>
      <c r="AM9" s="51"/>
      <c r="AN9" s="51"/>
      <c r="AU9" s="32"/>
      <c r="AW9" s="48"/>
      <c r="AX9" s="48"/>
      <c r="AY9" s="48"/>
      <c r="AZ9" s="48"/>
      <c r="BA9" s="48"/>
    </row>
    <row r="10" spans="3:53" x14ac:dyDescent="0.25">
      <c r="C10" s="20" t="s">
        <v>63</v>
      </c>
      <c r="R10" s="200"/>
      <c r="S10" s="201"/>
      <c r="T10" s="201"/>
      <c r="U10" s="202"/>
      <c r="Z10" s="200"/>
      <c r="AA10" s="201"/>
      <c r="AB10" s="201"/>
      <c r="AC10" s="202"/>
      <c r="AF10" s="50" t="s">
        <v>64</v>
      </c>
      <c r="AG10" s="51"/>
      <c r="AH10" s="51"/>
      <c r="AI10" s="51"/>
      <c r="AJ10" s="51"/>
      <c r="AK10" s="51"/>
      <c r="AL10" s="51"/>
      <c r="AM10" s="51"/>
      <c r="AN10" s="51"/>
      <c r="AU10" s="32"/>
      <c r="AW10" s="48"/>
      <c r="AX10" s="48"/>
      <c r="AY10" s="48"/>
      <c r="AZ10" s="48"/>
      <c r="BA10" s="48"/>
    </row>
    <row r="11" spans="3:53" x14ac:dyDescent="0.25">
      <c r="C11" s="20" t="s">
        <v>65</v>
      </c>
      <c r="R11" s="203" t="s">
        <v>50</v>
      </c>
      <c r="S11" s="204"/>
      <c r="T11" s="204"/>
      <c r="U11" s="205"/>
      <c r="Z11" s="185" t="s">
        <v>50</v>
      </c>
      <c r="AA11" s="186"/>
      <c r="AB11" s="186"/>
      <c r="AC11" s="187"/>
      <c r="AF11" s="42" t="s">
        <v>66</v>
      </c>
      <c r="AU11" s="32"/>
      <c r="AW11" s="48"/>
      <c r="AX11" s="48"/>
      <c r="AY11" s="48"/>
      <c r="AZ11" s="48"/>
      <c r="BA11" s="48"/>
    </row>
    <row r="12" spans="3:53" ht="13" x14ac:dyDescent="0.3">
      <c r="C12" s="20" t="s">
        <v>67</v>
      </c>
      <c r="G12" s="20" t="s">
        <v>68</v>
      </c>
      <c r="O12" s="206"/>
      <c r="P12" s="207"/>
      <c r="Q12" s="208"/>
      <c r="W12" s="206"/>
      <c r="X12" s="207"/>
      <c r="Y12" s="208"/>
      <c r="AF12" s="50" t="s">
        <v>69</v>
      </c>
      <c r="AU12" s="32"/>
      <c r="AW12" s="48"/>
      <c r="AX12" s="48"/>
      <c r="AY12" s="48"/>
      <c r="AZ12" s="48"/>
      <c r="BA12" s="48"/>
    </row>
    <row r="13" spans="3:53" x14ac:dyDescent="0.25">
      <c r="G13" s="20" t="s">
        <v>70</v>
      </c>
      <c r="O13" s="185"/>
      <c r="P13" s="186"/>
      <c r="Q13" s="187"/>
      <c r="W13" s="185"/>
      <c r="X13" s="186"/>
      <c r="Y13" s="187"/>
      <c r="AF13" s="42" t="s">
        <v>71</v>
      </c>
      <c r="AU13" s="32"/>
      <c r="AW13" s="48"/>
      <c r="AX13" s="48"/>
      <c r="AY13" s="48"/>
      <c r="AZ13" s="48"/>
      <c r="BA13" s="48"/>
    </row>
    <row r="14" spans="3:53" x14ac:dyDescent="0.25">
      <c r="G14" t="s">
        <v>72</v>
      </c>
      <c r="O14" s="188">
        <f>IF(R10&lt;Table!E54, 16.59, 17.65)</f>
        <v>16.59</v>
      </c>
      <c r="P14" s="189"/>
      <c r="Q14" s="190"/>
      <c r="W14" s="188">
        <f>IF(Z10&lt;Table!E54, 16.59, 17.65)</f>
        <v>16.59</v>
      </c>
      <c r="X14" s="189"/>
      <c r="Y14" s="190"/>
      <c r="AF14" s="50" t="s">
        <v>73</v>
      </c>
      <c r="AU14" s="32"/>
    </row>
    <row r="15" spans="3:53" ht="13" x14ac:dyDescent="0.3">
      <c r="C15" s="20" t="s">
        <v>74</v>
      </c>
      <c r="R15" s="191"/>
      <c r="S15" s="192"/>
      <c r="T15" s="192"/>
      <c r="U15" s="193"/>
      <c r="Z15" s="191"/>
      <c r="AA15" s="192"/>
      <c r="AB15" s="192"/>
      <c r="AC15" s="193"/>
      <c r="AF15" s="43" t="s">
        <v>75</v>
      </c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5"/>
    </row>
    <row r="16" spans="3:53" s="60" customFormat="1" ht="13" hidden="1" x14ac:dyDescent="0.3">
      <c r="C16" s="61" t="s">
        <v>76</v>
      </c>
      <c r="O16" s="198">
        <f>((O12/36.5)*(O13/52)*(1+(O14/100)))</f>
        <v>0</v>
      </c>
      <c r="P16" s="198"/>
      <c r="Q16" s="198"/>
      <c r="R16" s="197">
        <f>(R15*52)/1898</f>
        <v>0</v>
      </c>
      <c r="S16" s="197"/>
      <c r="T16" s="197"/>
      <c r="U16" s="197"/>
      <c r="V16" s="62"/>
      <c r="W16" s="198">
        <f>((W12/36.5)*(W13/52)*(1+(W14/100)))</f>
        <v>0</v>
      </c>
      <c r="X16" s="198"/>
      <c r="Y16" s="198"/>
      <c r="Z16" s="194">
        <f>(Z15*52)/1898</f>
        <v>0</v>
      </c>
      <c r="AA16" s="195"/>
      <c r="AB16" s="195"/>
      <c r="AC16" s="196"/>
    </row>
    <row r="17" spans="2:48" x14ac:dyDescent="0.25">
      <c r="C17" t="s">
        <v>77</v>
      </c>
      <c r="O17" s="58"/>
      <c r="P17" s="58"/>
      <c r="Q17" s="58"/>
      <c r="R17" s="199">
        <f>IF(R15&gt;0,R16,O16)</f>
        <v>0</v>
      </c>
      <c r="S17" s="199"/>
      <c r="T17" s="199"/>
      <c r="U17" s="199"/>
      <c r="V17" s="59"/>
      <c r="W17" s="58"/>
      <c r="X17" s="58"/>
      <c r="Y17" s="58"/>
      <c r="Z17" s="199">
        <f>IF(Z15&gt;0,Z16,W16)</f>
        <v>0</v>
      </c>
      <c r="AA17" s="199"/>
      <c r="AB17" s="199"/>
      <c r="AC17" s="199"/>
    </row>
    <row r="18" spans="2:48" x14ac:dyDescent="0.25">
      <c r="C18" t="s">
        <v>78</v>
      </c>
      <c r="R18" s="182">
        <f>R10*R17</f>
        <v>0</v>
      </c>
      <c r="S18" s="183"/>
      <c r="T18" s="183"/>
      <c r="U18" s="184"/>
      <c r="Z18" s="182">
        <f>Z10*Z17</f>
        <v>0</v>
      </c>
      <c r="AA18" s="183"/>
      <c r="AB18" s="183"/>
      <c r="AC18" s="184"/>
    </row>
    <row r="19" spans="2:48" x14ac:dyDescent="0.25">
      <c r="C19" s="20" t="s">
        <v>79</v>
      </c>
      <c r="R19" s="178"/>
      <c r="S19" s="178"/>
      <c r="T19" s="178"/>
      <c r="U19" s="178"/>
      <c r="Z19" s="179"/>
      <c r="AA19" s="180"/>
      <c r="AB19" s="180"/>
      <c r="AC19" s="181"/>
    </row>
    <row r="20" spans="2:48" ht="13" x14ac:dyDescent="0.3">
      <c r="C20" s="20" t="s">
        <v>80</v>
      </c>
      <c r="R20" s="143">
        <f>R18+R19</f>
        <v>0</v>
      </c>
      <c r="S20" s="143"/>
      <c r="T20" s="143"/>
      <c r="U20" s="143"/>
      <c r="Z20" s="143">
        <f>(Z18+Z19)</f>
        <v>0</v>
      </c>
      <c r="AA20" s="143"/>
      <c r="AB20" s="143"/>
      <c r="AC20" s="143"/>
    </row>
    <row r="21" spans="2:48" s="55" customFormat="1" ht="25.5" hidden="1" customHeight="1" x14ac:dyDescent="0.3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56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2:48" s="55" customFormat="1" ht="12" hidden="1" customHeight="1" x14ac:dyDescent="0.25">
      <c r="B22" s="160" t="s">
        <v>81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42">
        <f>R20</f>
        <v>0</v>
      </c>
      <c r="S22" s="142"/>
      <c r="T22" s="142"/>
      <c r="U22" s="142"/>
      <c r="Z22" s="142">
        <f>Z20</f>
        <v>0</v>
      </c>
      <c r="AA22" s="142"/>
      <c r="AB22" s="142"/>
      <c r="AC22" s="142"/>
    </row>
    <row r="23" spans="2:48" s="55" customFormat="1" ht="12" hidden="1" customHeight="1" x14ac:dyDescent="0.25">
      <c r="B23" s="160" t="s">
        <v>82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42">
        <f>'Standing data'!D11</f>
        <v>5000</v>
      </c>
      <c r="S23" s="142"/>
      <c r="T23" s="142"/>
      <c r="U23" s="142"/>
      <c r="Z23" s="142">
        <f>'Standing data'!D11</f>
        <v>5000</v>
      </c>
      <c r="AA23" s="142"/>
      <c r="AB23" s="142"/>
      <c r="AC23" s="142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</row>
    <row r="24" spans="2:48" s="55" customFormat="1" ht="12" hidden="1" customHeight="1" x14ac:dyDescent="0.25"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42"/>
      <c r="S24" s="142"/>
      <c r="T24" s="142"/>
      <c r="U24" s="142"/>
      <c r="Z24" s="142"/>
      <c r="AA24" s="142"/>
      <c r="AB24" s="142"/>
      <c r="AC24" s="142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</row>
    <row r="25" spans="2:48" s="55" customFormat="1" ht="12" hidden="1" customHeight="1" x14ac:dyDescent="0.25">
      <c r="B25" s="160" t="s">
        <v>83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42">
        <f>R22-R23</f>
        <v>-5000</v>
      </c>
      <c r="S25" s="142"/>
      <c r="T25" s="142"/>
      <c r="U25" s="142"/>
      <c r="Z25" s="142">
        <f>SUM(Z22-Z23)</f>
        <v>-5000</v>
      </c>
      <c r="AA25" s="142"/>
      <c r="AB25" s="142"/>
      <c r="AC25" s="142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</row>
    <row r="26" spans="2:48" s="55" customFormat="1" ht="12" hidden="1" customHeight="1" x14ac:dyDescent="0.25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42"/>
      <c r="S26" s="142"/>
      <c r="T26" s="142"/>
      <c r="U26" s="142"/>
      <c r="Z26" s="142"/>
      <c r="AA26" s="142"/>
      <c r="AB26" s="142"/>
      <c r="AC26" s="142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</row>
    <row r="27" spans="2:48" s="55" customFormat="1" ht="23.25" hidden="1" customHeight="1" x14ac:dyDescent="0.25">
      <c r="B27" s="160" t="s">
        <v>84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47">
        <f>SUM(R25*'Standing data'!D13)</f>
        <v>-750</v>
      </c>
      <c r="S27" s="148"/>
      <c r="T27" s="148"/>
      <c r="U27" s="149"/>
      <c r="Z27" s="147">
        <f>SUM(Z25*'Standing data'!D13)</f>
        <v>-750</v>
      </c>
      <c r="AA27" s="148"/>
      <c r="AB27" s="148"/>
      <c r="AC27" s="149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</row>
    <row r="28" spans="2:48" ht="12" customHeight="1" x14ac:dyDescent="0.3">
      <c r="C28" t="s">
        <v>85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144">
        <f>IF(R27&lt;0, 0, R27)</f>
        <v>0</v>
      </c>
      <c r="S28" s="144"/>
      <c r="T28" s="144"/>
      <c r="U28" s="144"/>
      <c r="V28" s="37"/>
      <c r="W28" s="37"/>
      <c r="X28" s="37"/>
      <c r="Y28" s="37"/>
      <c r="Z28" s="144">
        <f>IF(Z27&lt;0, 0, Z27)</f>
        <v>0</v>
      </c>
      <c r="AA28" s="144"/>
      <c r="AB28" s="144"/>
      <c r="AC28" s="144"/>
      <c r="AD28" s="37"/>
    </row>
    <row r="29" spans="2:48" ht="12" customHeight="1" x14ac:dyDescent="0.3">
      <c r="C29" t="s">
        <v>86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45">
        <f>IF(R11="ERSS",0.12,IF(R11="USS",0.145,0))</f>
        <v>0</v>
      </c>
      <c r="P29" s="146"/>
      <c r="Q29" s="37"/>
      <c r="R29" s="139">
        <f>(R20*O29)</f>
        <v>0</v>
      </c>
      <c r="S29" s="140"/>
      <c r="T29" s="140"/>
      <c r="U29" s="141"/>
      <c r="V29" s="37"/>
      <c r="W29" s="145">
        <f>IF(Z11="ERSS",0.12,IF(Z11="USS",0.145,0))</f>
        <v>0</v>
      </c>
      <c r="X29" s="146"/>
      <c r="Y29" s="37"/>
      <c r="Z29" s="139">
        <f>(Z20*W29)</f>
        <v>0</v>
      </c>
      <c r="AA29" s="140"/>
      <c r="AB29" s="140"/>
      <c r="AC29" s="141"/>
      <c r="AD29" s="37"/>
    </row>
    <row r="30" spans="2:48" ht="12" customHeight="1" thickBot="1" x14ac:dyDescent="0.35">
      <c r="C30" t="s">
        <v>11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50">
        <f>'Standing data'!B19</f>
        <v>5.0000000000000001E-3</v>
      </c>
      <c r="P30" s="151"/>
      <c r="Q30" s="37"/>
      <c r="R30" s="139">
        <f>(R20*O30)</f>
        <v>0</v>
      </c>
      <c r="S30" s="140"/>
      <c r="T30" s="140"/>
      <c r="U30" s="141"/>
      <c r="V30" s="37"/>
      <c r="W30" s="150">
        <f>'Standing data'!B19</f>
        <v>5.0000000000000001E-3</v>
      </c>
      <c r="X30" s="151"/>
      <c r="Y30" s="37"/>
      <c r="Z30" s="139">
        <f>(Z20*O30)</f>
        <v>0</v>
      </c>
      <c r="AA30" s="140"/>
      <c r="AB30" s="140"/>
      <c r="AC30" s="141"/>
      <c r="AD30" s="37"/>
    </row>
    <row r="31" spans="2:48" ht="12" customHeight="1" thickBot="1" x14ac:dyDescent="0.35">
      <c r="C31" s="39" t="s">
        <v>87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55">
        <f>SUM(R20+R28+R29+R30)</f>
        <v>0</v>
      </c>
      <c r="S31" s="156"/>
      <c r="T31" s="156"/>
      <c r="U31" s="157"/>
      <c r="V31" s="37"/>
      <c r="W31" s="37"/>
      <c r="X31" s="37"/>
      <c r="Y31" s="37"/>
      <c r="Z31" s="155">
        <f>SUM(Z20+Z28+Z29+Z30)</f>
        <v>0</v>
      </c>
      <c r="AA31" s="156"/>
      <c r="AB31" s="156"/>
      <c r="AC31" s="157"/>
      <c r="AD31" s="37"/>
    </row>
    <row r="32" spans="2:48" ht="12" customHeight="1" x14ac:dyDescent="0.2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</row>
    <row r="33" spans="2:30" ht="13" thickBot="1" x14ac:dyDescent="0.3"/>
    <row r="34" spans="2:30" ht="13" thickBot="1" x14ac:dyDescent="0.3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2:30" ht="13.5" thickBot="1" x14ac:dyDescent="0.35">
      <c r="B35" s="24"/>
      <c r="C35" s="9" t="s">
        <v>88</v>
      </c>
      <c r="O35" s="9" t="str">
        <f>IF(Z31&gt;R31,"Increase in costs", "Saving in costs")</f>
        <v>Saving in costs</v>
      </c>
      <c r="Z35" s="175">
        <f>Z31-R31</f>
        <v>0</v>
      </c>
      <c r="AA35" s="176"/>
      <c r="AB35" s="176"/>
      <c r="AC35" s="177"/>
      <c r="AD35" s="25"/>
    </row>
    <row r="36" spans="2:30" ht="13" thickBot="1" x14ac:dyDescent="0.3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8"/>
    </row>
    <row r="38" spans="2:30" ht="12" customHeight="1" x14ac:dyDescent="0.2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</row>
    <row r="39" spans="2:30" x14ac:dyDescent="0.25">
      <c r="C39" s="12" t="s">
        <v>89</v>
      </c>
      <c r="D39" s="12"/>
      <c r="E39" s="12"/>
      <c r="F39" s="12"/>
      <c r="G39" s="12"/>
      <c r="H39" s="12"/>
      <c r="I39" s="12"/>
      <c r="J39" s="12"/>
    </row>
    <row r="41" spans="2:30" ht="13" x14ac:dyDescent="0.3">
      <c r="B41" s="40"/>
      <c r="C41" s="41" t="s">
        <v>90</v>
      </c>
      <c r="D41" s="29"/>
      <c r="E41" s="29"/>
      <c r="F41" s="29"/>
      <c r="G41" s="30" t="s">
        <v>91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31"/>
    </row>
    <row r="42" spans="2:30" x14ac:dyDescent="0.25">
      <c r="B42" s="42"/>
      <c r="C42" s="20" t="s">
        <v>92</v>
      </c>
      <c r="G42" s="20" t="s">
        <v>93</v>
      </c>
      <c r="AD42" s="32"/>
    </row>
    <row r="43" spans="2:30" x14ac:dyDescent="0.25">
      <c r="B43" s="42"/>
      <c r="C43" s="20" t="s">
        <v>94</v>
      </c>
      <c r="F43" s="20"/>
      <c r="H43" s="169">
        <v>2100</v>
      </c>
      <c r="I43" s="170"/>
      <c r="J43" s="170"/>
      <c r="K43" s="171"/>
      <c r="L43" s="20" t="s">
        <v>95</v>
      </c>
      <c r="AD43" s="32"/>
    </row>
    <row r="44" spans="2:30" ht="13" x14ac:dyDescent="0.3">
      <c r="B44" s="42"/>
      <c r="O44" s="9" t="s">
        <v>61</v>
      </c>
      <c r="W44" s="9" t="s">
        <v>62</v>
      </c>
      <c r="AD44" s="32"/>
    </row>
    <row r="45" spans="2:30" x14ac:dyDescent="0.25">
      <c r="B45" s="42"/>
      <c r="C45" t="s">
        <v>96</v>
      </c>
      <c r="J45" s="20"/>
      <c r="R45" s="172">
        <f>((R15*52)/1898)*H43</f>
        <v>0</v>
      </c>
      <c r="S45" s="173"/>
      <c r="T45" s="173"/>
      <c r="U45" s="174"/>
      <c r="V45" s="20"/>
      <c r="Z45" s="172">
        <f>((Z15*52)/1898)*H43</f>
        <v>0</v>
      </c>
      <c r="AA45" s="173"/>
      <c r="AB45" s="173"/>
      <c r="AC45" s="174"/>
      <c r="AD45" s="33"/>
    </row>
    <row r="46" spans="2:30" x14ac:dyDescent="0.25">
      <c r="B46" s="43"/>
      <c r="C46" s="4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5"/>
    </row>
    <row r="48" spans="2:30" ht="13" x14ac:dyDescent="0.3">
      <c r="B48" s="40"/>
      <c r="C48" s="41" t="s">
        <v>90</v>
      </c>
      <c r="D48" s="29"/>
      <c r="E48" s="29"/>
      <c r="F48" s="29"/>
      <c r="G48" s="30" t="s">
        <v>97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31"/>
    </row>
    <row r="49" spans="2:30" x14ac:dyDescent="0.25">
      <c r="B49" s="42"/>
      <c r="C49" s="20" t="s">
        <v>92</v>
      </c>
      <c r="G49" s="20" t="s">
        <v>98</v>
      </c>
      <c r="AD49" s="32"/>
    </row>
    <row r="50" spans="2:30" x14ac:dyDescent="0.25">
      <c r="B50" s="42"/>
      <c r="C50" s="20" t="s">
        <v>99</v>
      </c>
      <c r="G50" s="164">
        <v>0.12</v>
      </c>
      <c r="H50" s="165"/>
      <c r="I50" s="165"/>
      <c r="J50" s="165"/>
      <c r="K50" s="151"/>
      <c r="AD50" s="32"/>
    </row>
    <row r="51" spans="2:30" ht="13" x14ac:dyDescent="0.3">
      <c r="B51" s="42"/>
      <c r="C51" s="20"/>
      <c r="O51" s="9" t="s">
        <v>61</v>
      </c>
      <c r="W51" s="9" t="s">
        <v>62</v>
      </c>
      <c r="AD51" s="32"/>
    </row>
    <row r="52" spans="2:30" x14ac:dyDescent="0.25">
      <c r="B52" s="42"/>
      <c r="C52" s="20" t="s">
        <v>100</v>
      </c>
      <c r="O52" s="161"/>
      <c r="P52" s="162"/>
      <c r="Q52" s="163"/>
      <c r="R52" s="20" t="s">
        <v>101</v>
      </c>
      <c r="W52" s="161"/>
      <c r="X52" s="162"/>
      <c r="Y52" s="163"/>
      <c r="Z52" s="20" t="s">
        <v>101</v>
      </c>
      <c r="AD52" s="32"/>
    </row>
    <row r="53" spans="2:30" x14ac:dyDescent="0.25">
      <c r="B53" s="42"/>
      <c r="C53" s="20" t="s">
        <v>102</v>
      </c>
      <c r="O53" s="161">
        <v>52</v>
      </c>
      <c r="P53" s="162"/>
      <c r="Q53" s="163"/>
      <c r="R53" s="20" t="s">
        <v>103</v>
      </c>
      <c r="W53" s="161">
        <v>52</v>
      </c>
      <c r="X53" s="162"/>
      <c r="Y53" s="163"/>
      <c r="Z53" s="20" t="s">
        <v>103</v>
      </c>
      <c r="AD53" s="32"/>
    </row>
    <row r="54" spans="2:30" x14ac:dyDescent="0.25">
      <c r="B54" s="42"/>
      <c r="O54" s="164">
        <f>O52*O53</f>
        <v>0</v>
      </c>
      <c r="P54" s="165"/>
      <c r="Q54" s="151"/>
      <c r="R54" s="20" t="s">
        <v>104</v>
      </c>
      <c r="W54" s="164">
        <f>W52*W53</f>
        <v>0</v>
      </c>
      <c r="X54" s="165"/>
      <c r="Y54" s="151"/>
      <c r="Z54" s="20" t="s">
        <v>104</v>
      </c>
      <c r="AD54" s="32"/>
    </row>
    <row r="55" spans="2:30" x14ac:dyDescent="0.25">
      <c r="B55" s="42"/>
      <c r="C55" t="s">
        <v>105</v>
      </c>
      <c r="R55" s="166">
        <f>O54*G50</f>
        <v>0</v>
      </c>
      <c r="S55" s="167"/>
      <c r="T55" s="167"/>
      <c r="U55" s="168"/>
      <c r="Z55" s="166">
        <f>W54*G50</f>
        <v>0</v>
      </c>
      <c r="AA55" s="167"/>
      <c r="AB55" s="167"/>
      <c r="AC55" s="168"/>
      <c r="AD55" s="32"/>
    </row>
    <row r="56" spans="2:30" x14ac:dyDescent="0.25">
      <c r="B56" s="4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5"/>
    </row>
    <row r="58" spans="2:30" ht="13" x14ac:dyDescent="0.3">
      <c r="B58" s="40"/>
      <c r="C58" s="41" t="s">
        <v>90</v>
      </c>
      <c r="D58" s="29"/>
      <c r="E58" s="29"/>
      <c r="F58" s="29"/>
      <c r="G58" s="30" t="s">
        <v>106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31"/>
    </row>
    <row r="59" spans="2:30" x14ac:dyDescent="0.25">
      <c r="B59" s="42"/>
      <c r="C59" s="20" t="s">
        <v>92</v>
      </c>
      <c r="G59" s="20" t="s">
        <v>107</v>
      </c>
      <c r="AD59" s="32"/>
    </row>
    <row r="60" spans="2:30" ht="13" x14ac:dyDescent="0.3">
      <c r="B60" s="42"/>
      <c r="O60" s="9" t="s">
        <v>61</v>
      </c>
      <c r="W60" s="9" t="s">
        <v>62</v>
      </c>
      <c r="AD60" s="32"/>
    </row>
    <row r="61" spans="2:30" x14ac:dyDescent="0.25">
      <c r="B61" s="42"/>
      <c r="C61" s="20" t="s">
        <v>111</v>
      </c>
      <c r="O61" s="161"/>
      <c r="P61" s="162"/>
      <c r="Q61" s="163"/>
      <c r="R61" s="20" t="s">
        <v>101</v>
      </c>
      <c r="W61" s="161"/>
      <c r="X61" s="162"/>
      <c r="Y61" s="163"/>
      <c r="Z61" s="20" t="s">
        <v>101</v>
      </c>
      <c r="AD61" s="32"/>
    </row>
    <row r="62" spans="2:30" x14ac:dyDescent="0.25">
      <c r="B62" s="42"/>
      <c r="O62" s="161">
        <v>52</v>
      </c>
      <c r="P62" s="162"/>
      <c r="Q62" s="163"/>
      <c r="R62" s="20" t="s">
        <v>103</v>
      </c>
      <c r="W62" s="161">
        <v>52</v>
      </c>
      <c r="X62" s="162"/>
      <c r="Y62" s="163"/>
      <c r="Z62" s="20" t="s">
        <v>103</v>
      </c>
      <c r="AD62" s="32"/>
    </row>
    <row r="63" spans="2:30" x14ac:dyDescent="0.25">
      <c r="B63" s="42"/>
      <c r="C63" s="20"/>
      <c r="O63" s="164">
        <f>O61*O62</f>
        <v>0</v>
      </c>
      <c r="P63" s="165"/>
      <c r="Q63" s="151"/>
      <c r="R63" s="20" t="s">
        <v>104</v>
      </c>
      <c r="W63" s="164">
        <f>W61*W62</f>
        <v>0</v>
      </c>
      <c r="X63" s="165"/>
      <c r="Y63" s="151"/>
      <c r="Z63" s="20" t="s">
        <v>104</v>
      </c>
      <c r="AD63" s="32"/>
    </row>
    <row r="64" spans="2:30" x14ac:dyDescent="0.25">
      <c r="B64" s="42"/>
      <c r="C64" s="20" t="s">
        <v>105</v>
      </c>
      <c r="J64" s="36"/>
      <c r="O64" s="20"/>
      <c r="R64" s="152">
        <f>(((R10/52)/36.5)/3)*O63</f>
        <v>0</v>
      </c>
      <c r="S64" s="153"/>
      <c r="T64" s="153"/>
      <c r="U64" s="154"/>
      <c r="W64" s="20"/>
      <c r="Z64" s="152">
        <f>(((Z10/52)/36.5)/3)*W63</f>
        <v>0</v>
      </c>
      <c r="AA64" s="153"/>
      <c r="AB64" s="153"/>
      <c r="AC64" s="154"/>
      <c r="AD64" s="32"/>
    </row>
    <row r="65" spans="2:30" x14ac:dyDescent="0.25">
      <c r="B65" s="4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5"/>
    </row>
  </sheetData>
  <mergeCells count="78">
    <mergeCell ref="R10:U10"/>
    <mergeCell ref="Z10:AC10"/>
    <mergeCell ref="R11:U11"/>
    <mergeCell ref="Z11:AC11"/>
    <mergeCell ref="O12:Q12"/>
    <mergeCell ref="W12:Y12"/>
    <mergeCell ref="R19:U19"/>
    <mergeCell ref="Z19:AC19"/>
    <mergeCell ref="R18:U18"/>
    <mergeCell ref="Z18:AC18"/>
    <mergeCell ref="O13:Q13"/>
    <mergeCell ref="W13:Y13"/>
    <mergeCell ref="O14:Q14"/>
    <mergeCell ref="W14:Y14"/>
    <mergeCell ref="R15:U15"/>
    <mergeCell ref="Z15:AC15"/>
    <mergeCell ref="Z16:AC16"/>
    <mergeCell ref="R16:U16"/>
    <mergeCell ref="O16:Q16"/>
    <mergeCell ref="W16:Y16"/>
    <mergeCell ref="R17:U17"/>
    <mergeCell ref="Z17:AC17"/>
    <mergeCell ref="Z35:AC35"/>
    <mergeCell ref="B23:Q23"/>
    <mergeCell ref="B24:Q24"/>
    <mergeCell ref="B25:Q25"/>
    <mergeCell ref="R26:U26"/>
    <mergeCell ref="R27:U27"/>
    <mergeCell ref="B26:Q26"/>
    <mergeCell ref="B27:Q27"/>
    <mergeCell ref="O29:P29"/>
    <mergeCell ref="Z31:AC31"/>
    <mergeCell ref="Z24:AC24"/>
    <mergeCell ref="Z25:AC25"/>
    <mergeCell ref="Z26:AC26"/>
    <mergeCell ref="R23:U23"/>
    <mergeCell ref="R24:U24"/>
    <mergeCell ref="O30:P30"/>
    <mergeCell ref="W54:Y54"/>
    <mergeCell ref="R55:U55"/>
    <mergeCell ref="Z55:AC55"/>
    <mergeCell ref="H43:K43"/>
    <mergeCell ref="R45:U45"/>
    <mergeCell ref="Z45:AC45"/>
    <mergeCell ref="G50:K50"/>
    <mergeCell ref="O52:Q52"/>
    <mergeCell ref="W52:Y52"/>
    <mergeCell ref="R64:U64"/>
    <mergeCell ref="R31:U31"/>
    <mergeCell ref="Z64:AC64"/>
    <mergeCell ref="B21:Q21"/>
    <mergeCell ref="S21:V21"/>
    <mergeCell ref="W21:AD21"/>
    <mergeCell ref="B22:Q22"/>
    <mergeCell ref="O61:Q61"/>
    <mergeCell ref="W61:Y61"/>
    <mergeCell ref="O62:Q62"/>
    <mergeCell ref="W62:Y62"/>
    <mergeCell ref="O63:Q63"/>
    <mergeCell ref="W63:Y63"/>
    <mergeCell ref="O53:Q53"/>
    <mergeCell ref="W53:Y53"/>
    <mergeCell ref="O54:Q54"/>
    <mergeCell ref="R30:U30"/>
    <mergeCell ref="Z30:AC30"/>
    <mergeCell ref="R25:U25"/>
    <mergeCell ref="R20:U20"/>
    <mergeCell ref="R28:U28"/>
    <mergeCell ref="R29:U29"/>
    <mergeCell ref="Z28:AC28"/>
    <mergeCell ref="Z29:AC29"/>
    <mergeCell ref="W29:X29"/>
    <mergeCell ref="Z20:AC20"/>
    <mergeCell ref="Z22:AC22"/>
    <mergeCell ref="Z23:AC23"/>
    <mergeCell ref="R22:U22"/>
    <mergeCell ref="Z27:AC27"/>
    <mergeCell ref="W30:X30"/>
  </mergeCells>
  <hyperlinks>
    <hyperlink ref="AF7" r:id="rId1" display="http://nicecalculator.hmrc.gov.uk/Class1NICs1.aspx" xr:uid="{00000000-0004-0000-0200-000000000000}"/>
  </hyperlinks>
  <pageMargins left="0.31496062992125984" right="0.31496062992125984" top="0.35433070866141736" bottom="0.35433070866141736" header="0.31496062992125984" footer="0.31496062992125984"/>
  <pageSetup paperSize="9" scale="8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'Standing data'!$B$23:$B$26</xm:f>
          </x14:formula1>
          <xm:sqref>Z11:AC11 R11:U11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0194d-3606-4a33-96d0-98a07738492e" xsi:nil="true"/>
    <lcf76f155ced4ddcb4097134ff3c332f xmlns="50cb5de6-f12a-4aa8-8384-78222a2e2c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D16965E40354E83AF52B4F100C0BC" ma:contentTypeVersion="18" ma:contentTypeDescription="Create a new document." ma:contentTypeScope="" ma:versionID="00c3bb0acdbb72c01426e9c7a6b5de45">
  <xsd:schema xmlns:xsd="http://www.w3.org/2001/XMLSchema" xmlns:xs="http://www.w3.org/2001/XMLSchema" xmlns:p="http://schemas.microsoft.com/office/2006/metadata/properties" xmlns:ns2="50cb5de6-f12a-4aa8-8384-78222a2e2c5e" xmlns:ns3="5df0194d-3606-4a33-96d0-98a07738492e" targetNamespace="http://schemas.microsoft.com/office/2006/metadata/properties" ma:root="true" ma:fieldsID="4b87c46450697934b879078f7be8d60c" ns2:_="" ns3:_="">
    <xsd:import namespace="50cb5de6-f12a-4aa8-8384-78222a2e2c5e"/>
    <xsd:import namespace="5df0194d-3606-4a33-96d0-98a077384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b5de6-f12a-4aa8-8384-78222a2e2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103e67f-0598-4a90-8a4a-cec34b03b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194d-3606-4a33-96d0-98a077384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adeb60-a7be-4d64-a747-7b07d8c6a247}" ma:internalName="TaxCatchAll" ma:showField="CatchAllData" ma:web="5df0194d-3606-4a33-96d0-98a077384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D2A70-174B-4DD8-8C51-8266278156AE}">
  <ds:schemaRefs>
    <ds:schemaRef ds:uri="http://schemas.microsoft.com/office/2006/metadata/properties"/>
    <ds:schemaRef ds:uri="http://schemas.microsoft.com/office/infopath/2007/PartnerControls"/>
    <ds:schemaRef ds:uri="5df0194d-3606-4a33-96d0-98a07738492e"/>
    <ds:schemaRef ds:uri="50cb5de6-f12a-4aa8-8384-78222a2e2c5e"/>
  </ds:schemaRefs>
</ds:datastoreItem>
</file>

<file path=customXml/itemProps2.xml><?xml version="1.0" encoding="utf-8"?>
<ds:datastoreItem xmlns:ds="http://schemas.openxmlformats.org/officeDocument/2006/customXml" ds:itemID="{DEC4230C-3A4A-4B3C-92C4-BEB47568B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b5de6-f12a-4aa8-8384-78222a2e2c5e"/>
    <ds:schemaRef ds:uri="5df0194d-3606-4a33-96d0-98a077384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1D701E-7F19-42E8-B128-D71A89B692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12a5d77-fb98-4eee-af32-1334d8f04a53}" enabled="0" method="" siteId="{912a5d77-fb98-4eee-af32-1334d8f04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</vt:lpstr>
      <vt:lpstr>Standing data</vt:lpstr>
      <vt:lpstr>Current to Proposed costs</vt:lpstr>
      <vt:lpstr>'Current to Proposed costs'!Print_Area</vt:lpstr>
      <vt:lpstr>'Standing data'!Print_Area</vt:lpstr>
      <vt:lpstr>Table!Print_Area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Johnson</dc:creator>
  <cp:keywords/>
  <dc:description/>
  <cp:lastModifiedBy>Ruberry, Megan</cp:lastModifiedBy>
  <cp:revision/>
  <dcterms:created xsi:type="dcterms:W3CDTF">2006-07-28T14:39:57Z</dcterms:created>
  <dcterms:modified xsi:type="dcterms:W3CDTF">2025-11-12T17:36:33Z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0x01010049CD16965E40354E83AF52B4F100C0BC</vt:lpwstr>
  </property>
  <property fmtid="{D5CDD505-2E9C-101B-9397-08002B2CF9AE}" pid="3" name="MediaServiceImageTags">
    <vt:lpwstr/>
  </property>
</Properties>
</file>