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https://universityofexeteruk-my.sharepoint.com/personal/c_perry_exeter_ac_uk/Documents/Research folder/ReefBudget - Leverhulme International Network/Caribbean spreadsheets and files/Revised June 2019/"/>
    </mc:Choice>
  </mc:AlternateContent>
  <xr:revisionPtr revIDLastSave="0" documentId="8_{8043B046-D135-4161-8C0D-2AF0922FFBDA}" xr6:coauthVersionLast="47" xr6:coauthVersionMax="47" xr10:uidLastSave="{00000000-0000-0000-0000-000000000000}"/>
  <bookViews>
    <workbookView xWindow="-108" yWindow="-108" windowWidth="23256" windowHeight="12576" xr2:uid="{00000000-000D-0000-FFFF-FFFF00000000}"/>
  </bookViews>
  <sheets>
    <sheet name="Notes" sheetId="6" r:id="rId1"/>
    <sheet name="Bite rates" sheetId="1" r:id="rId2"/>
    <sheet name="Scar area" sheetId="3" r:id="rId3"/>
    <sheet name="Proportion of bites on turf" sheetId="4" r:id="rId4"/>
    <sheet name="Equations" sheetId="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6" i="4" l="1"/>
  <c r="K26" i="4"/>
  <c r="H18" i="4"/>
  <c r="H26" i="4" s="1"/>
  <c r="I18" i="4"/>
  <c r="I26" i="4" s="1"/>
  <c r="J18" i="4"/>
  <c r="J26" i="4" s="1"/>
  <c r="K18" i="4"/>
  <c r="D18" i="4"/>
  <c r="D26" i="4" s="1"/>
  <c r="E18" i="4"/>
  <c r="E26" i="4" s="1"/>
  <c r="F18" i="4"/>
  <c r="F26" i="4" s="1"/>
  <c r="G18" i="4"/>
  <c r="C18" i="4"/>
  <c r="C26" i="4" s="1"/>
  <c r="E22" i="4"/>
  <c r="I22" i="4"/>
  <c r="H16" i="4"/>
  <c r="H22" i="4" s="1"/>
  <c r="I16" i="4"/>
  <c r="J16" i="4"/>
  <c r="J22" i="4" s="1"/>
  <c r="K16" i="4"/>
  <c r="K22" i="4" s="1"/>
  <c r="D16" i="4"/>
  <c r="D22" i="4" s="1"/>
  <c r="E16" i="4"/>
  <c r="F16" i="4"/>
  <c r="F22" i="4" s="1"/>
  <c r="C16" i="4"/>
  <c r="C22" i="4" s="1"/>
  <c r="G16" i="4"/>
  <c r="G22" i="4" s="1"/>
  <c r="C23" i="4" l="1"/>
  <c r="D21" i="7" s="1"/>
  <c r="D23" i="4"/>
  <c r="E21" i="7" s="1"/>
  <c r="E24" i="7"/>
  <c r="F24" i="7"/>
  <c r="G24" i="7"/>
  <c r="H24" i="7"/>
  <c r="I24" i="7"/>
  <c r="J24" i="7"/>
  <c r="K24" i="7"/>
  <c r="L24" i="7"/>
  <c r="D24" i="7"/>
  <c r="E20" i="7"/>
  <c r="F20" i="7"/>
  <c r="G20" i="7"/>
  <c r="H20" i="7"/>
  <c r="I20" i="7"/>
  <c r="J20" i="7"/>
  <c r="K20" i="7"/>
  <c r="L20" i="7"/>
  <c r="D20" i="7"/>
  <c r="D6" i="3"/>
  <c r="E6" i="3"/>
  <c r="F6" i="3"/>
  <c r="G6" i="3"/>
  <c r="H6" i="3"/>
  <c r="I6" i="3"/>
  <c r="J6" i="3"/>
  <c r="K6" i="3"/>
  <c r="D7" i="3"/>
  <c r="E7" i="3"/>
  <c r="F7" i="3"/>
  <c r="G7" i="3"/>
  <c r="H7" i="3"/>
  <c r="I7" i="3"/>
  <c r="J7" i="3"/>
  <c r="K7" i="3"/>
  <c r="C7" i="3"/>
  <c r="C6" i="3"/>
  <c r="D11" i="3"/>
  <c r="E11" i="3"/>
  <c r="F11" i="3"/>
  <c r="G11" i="3"/>
  <c r="H11" i="3"/>
  <c r="I11" i="3"/>
  <c r="J11" i="3"/>
  <c r="K11" i="3"/>
  <c r="C11" i="3"/>
  <c r="D10" i="3"/>
  <c r="E10" i="3"/>
  <c r="F10" i="3"/>
  <c r="G10" i="3"/>
  <c r="H10" i="3"/>
  <c r="I10" i="3"/>
  <c r="J10" i="3"/>
  <c r="K10" i="3"/>
  <c r="C10" i="3"/>
  <c r="C22" i="3" l="1"/>
  <c r="D54" i="7" s="1"/>
  <c r="H23" i="4" l="1"/>
  <c r="I21" i="7" s="1"/>
  <c r="D25" i="4"/>
  <c r="E23" i="7" s="1"/>
  <c r="E25" i="4"/>
  <c r="F23" i="7" s="1"/>
  <c r="F25" i="4"/>
  <c r="G23" i="7" s="1"/>
  <c r="G25" i="4"/>
  <c r="H23" i="7" s="1"/>
  <c r="H25" i="4"/>
  <c r="I23" i="7" s="1"/>
  <c r="I25" i="4"/>
  <c r="J23" i="7" s="1"/>
  <c r="J25" i="4"/>
  <c r="K23" i="7" s="1"/>
  <c r="C25" i="4"/>
  <c r="D23" i="7" s="1"/>
  <c r="D24" i="4"/>
  <c r="E22" i="7" s="1"/>
  <c r="E24" i="4"/>
  <c r="F22" i="7" s="1"/>
  <c r="F24" i="4"/>
  <c r="G22" i="7" s="1"/>
  <c r="G24" i="4"/>
  <c r="H22" i="7" s="1"/>
  <c r="H24" i="4"/>
  <c r="I22" i="7" s="1"/>
  <c r="I24" i="4"/>
  <c r="J22" i="7" s="1"/>
  <c r="J24" i="4"/>
  <c r="K22" i="7" s="1"/>
  <c r="C24" i="4"/>
  <c r="D22" i="7" s="1"/>
  <c r="C38" i="1" l="1"/>
  <c r="D42" i="7" s="1"/>
  <c r="D38" i="1"/>
  <c r="E42" i="7" s="1"/>
  <c r="E38" i="1"/>
  <c r="F42" i="7" s="1"/>
  <c r="F38" i="1"/>
  <c r="G42" i="7" s="1"/>
  <c r="G38" i="1"/>
  <c r="H42" i="7" s="1"/>
  <c r="H38" i="1"/>
  <c r="I42" i="7" s="1"/>
  <c r="C39" i="1"/>
  <c r="D43" i="7" s="1"/>
  <c r="D39" i="1"/>
  <c r="E43" i="7" s="1"/>
  <c r="E39" i="1"/>
  <c r="F43" i="7" s="1"/>
  <c r="F39" i="1"/>
  <c r="G43" i="7" s="1"/>
  <c r="G39" i="1"/>
  <c r="H43" i="7" s="1"/>
  <c r="H39" i="1"/>
  <c r="I43" i="7" s="1"/>
  <c r="C40" i="1"/>
  <c r="D44" i="7" s="1"/>
  <c r="D40" i="1"/>
  <c r="E44" i="7" s="1"/>
  <c r="E40" i="1"/>
  <c r="F44" i="7" s="1"/>
  <c r="F40" i="1"/>
  <c r="G44" i="7" s="1"/>
  <c r="G40" i="1"/>
  <c r="H44" i="7" s="1"/>
  <c r="H40" i="1"/>
  <c r="I44" i="7" s="1"/>
  <c r="C29" i="4"/>
  <c r="D27" i="7" s="1"/>
  <c r="D29" i="4"/>
  <c r="E27" i="7" s="1"/>
  <c r="E29" i="4"/>
  <c r="F27" i="7" s="1"/>
  <c r="F29" i="4"/>
  <c r="G27" i="7" s="1"/>
  <c r="G29" i="4"/>
  <c r="H27" i="7" s="1"/>
  <c r="G23" i="4"/>
  <c r="H21" i="7" s="1"/>
  <c r="C30" i="4"/>
  <c r="D28" i="7" s="1"/>
  <c r="D30" i="4"/>
  <c r="E28" i="7" s="1"/>
  <c r="E30" i="4"/>
  <c r="F28" i="7" s="1"/>
  <c r="F30" i="4"/>
  <c r="G28" i="7" s="1"/>
  <c r="G30" i="4"/>
  <c r="H28" i="7" s="1"/>
  <c r="H30" i="4"/>
  <c r="I28" i="7" s="1"/>
  <c r="C31" i="4"/>
  <c r="D29" i="7" s="1"/>
  <c r="O44" i="7" s="1"/>
  <c r="D31" i="4"/>
  <c r="E29" i="7" s="1"/>
  <c r="E31" i="4"/>
  <c r="F29" i="7" s="1"/>
  <c r="F31" i="4"/>
  <c r="G29" i="7" s="1"/>
  <c r="R44" i="7" s="1"/>
  <c r="G31" i="4"/>
  <c r="H29" i="7" s="1"/>
  <c r="S44" i="7" s="1"/>
  <c r="H31" i="4"/>
  <c r="I29" i="7" s="1"/>
  <c r="Q44" i="7" l="1"/>
  <c r="T44" i="7"/>
  <c r="P44" i="7"/>
  <c r="P32" i="1"/>
  <c r="Q32" i="1"/>
  <c r="T32" i="1"/>
  <c r="U32" i="1"/>
  <c r="V32" i="1"/>
  <c r="V33" i="1"/>
  <c r="V34" i="1"/>
  <c r="Q36" i="1"/>
  <c r="U36" i="1"/>
  <c r="V36" i="1"/>
  <c r="Q37" i="1"/>
  <c r="U37" i="1"/>
  <c r="V37" i="1"/>
  <c r="N38" i="1"/>
  <c r="O38" i="1"/>
  <c r="P38" i="1"/>
  <c r="Q38" i="1"/>
  <c r="R38" i="1"/>
  <c r="S38" i="1"/>
  <c r="N39" i="1"/>
  <c r="O39" i="1"/>
  <c r="P39" i="1"/>
  <c r="Q39" i="1"/>
  <c r="R39" i="1"/>
  <c r="S39" i="1"/>
  <c r="N40" i="1"/>
  <c r="O40" i="1"/>
  <c r="P40" i="1"/>
  <c r="Q40" i="1"/>
  <c r="R40" i="1"/>
  <c r="S40" i="1"/>
  <c r="V40" i="1"/>
  <c r="K6" i="1"/>
  <c r="D22" i="3"/>
  <c r="E54" i="7" s="1"/>
  <c r="E22" i="3"/>
  <c r="F54" i="7" s="1"/>
  <c r="C23" i="3"/>
  <c r="D55" i="7" s="1"/>
  <c r="F23" i="3"/>
  <c r="G55" i="7" s="1"/>
  <c r="D23" i="3"/>
  <c r="E55" i="7" s="1"/>
  <c r="E23" i="3"/>
  <c r="F55" i="7" s="1"/>
  <c r="G23" i="3"/>
  <c r="H55" i="7" s="1"/>
  <c r="H23" i="3"/>
  <c r="I55" i="7" s="1"/>
  <c r="F22" i="3"/>
  <c r="G54" i="7" s="1"/>
  <c r="G22" i="3"/>
  <c r="H54" i="7" s="1"/>
  <c r="D27" i="4"/>
  <c r="J31" i="4"/>
  <c r="K29" i="7" s="1"/>
  <c r="K31" i="4"/>
  <c r="L29" i="7" s="1"/>
  <c r="I31" i="4"/>
  <c r="J29" i="7" s="1"/>
  <c r="I27" i="4"/>
  <c r="H27" i="4"/>
  <c r="G27" i="4"/>
  <c r="E27" i="4"/>
  <c r="H29" i="4"/>
  <c r="I27" i="7" s="1"/>
  <c r="I29" i="4"/>
  <c r="J27" i="7" s="1"/>
  <c r="J29" i="4"/>
  <c r="K27" i="7" s="1"/>
  <c r="K29" i="4"/>
  <c r="L27" i="7" s="1"/>
  <c r="I30" i="4"/>
  <c r="J28" i="7" s="1"/>
  <c r="J30" i="4"/>
  <c r="K28" i="7" s="1"/>
  <c r="K30" i="4"/>
  <c r="L28" i="7" s="1"/>
  <c r="C27" i="4"/>
  <c r="H22" i="3"/>
  <c r="I54" i="7" s="1"/>
  <c r="K19" i="3"/>
  <c r="F15" i="3"/>
  <c r="F19" i="3"/>
  <c r="F12" i="1"/>
  <c r="F33" i="1" s="1"/>
  <c r="E12" i="1"/>
  <c r="E33" i="1"/>
  <c r="I34" i="1"/>
  <c r="J40" i="1"/>
  <c r="K40" i="1"/>
  <c r="L44" i="7" s="1"/>
  <c r="I40" i="1"/>
  <c r="I39" i="1"/>
  <c r="J39" i="1"/>
  <c r="K43" i="7" s="1"/>
  <c r="K39" i="1"/>
  <c r="I38" i="1"/>
  <c r="J38" i="1"/>
  <c r="K42" i="7" s="1"/>
  <c r="K38" i="1"/>
  <c r="L42" i="7" s="1"/>
  <c r="H31" i="1"/>
  <c r="J6" i="1"/>
  <c r="I6" i="1"/>
  <c r="H6" i="1"/>
  <c r="G6" i="1"/>
  <c r="E6" i="1"/>
  <c r="D6" i="1"/>
  <c r="C6" i="1"/>
  <c r="J7" i="1"/>
  <c r="J35" i="1" s="1"/>
  <c r="I7" i="1"/>
  <c r="H7" i="1"/>
  <c r="G7" i="1"/>
  <c r="E7" i="1"/>
  <c r="E35" i="1" s="1"/>
  <c r="D7" i="1"/>
  <c r="C7" i="1"/>
  <c r="G12" i="1"/>
  <c r="G33" i="1" s="1"/>
  <c r="D19" i="3"/>
  <c r="E19" i="3"/>
  <c r="C19" i="3"/>
  <c r="D15" i="3"/>
  <c r="E15" i="3"/>
  <c r="C15" i="3"/>
  <c r="H19" i="3"/>
  <c r="I19" i="3"/>
  <c r="J19" i="3"/>
  <c r="G19" i="3"/>
  <c r="H15" i="3"/>
  <c r="I15" i="3"/>
  <c r="J15" i="3"/>
  <c r="K15" i="3"/>
  <c r="L47" i="7" s="1"/>
  <c r="G15" i="3"/>
  <c r="J23" i="3"/>
  <c r="K55" i="7" s="1"/>
  <c r="K23" i="3"/>
  <c r="L55" i="7" s="1"/>
  <c r="I23" i="3"/>
  <c r="J55" i="7" s="1"/>
  <c r="I22" i="3"/>
  <c r="J54" i="7" s="1"/>
  <c r="J22" i="3"/>
  <c r="K54" i="7" s="1"/>
  <c r="K22" i="3"/>
  <c r="L54" i="7" s="1"/>
  <c r="I16" i="1"/>
  <c r="I37" i="1" s="1"/>
  <c r="H16" i="1"/>
  <c r="H37" i="1" s="1"/>
  <c r="G16" i="1"/>
  <c r="G37" i="1" s="1"/>
  <c r="E16" i="1"/>
  <c r="E37" i="1" s="1"/>
  <c r="D16" i="1"/>
  <c r="D37" i="1" s="1"/>
  <c r="C16" i="1"/>
  <c r="C37" i="1" s="1"/>
  <c r="K14" i="1"/>
  <c r="K35" i="1" s="1"/>
  <c r="J14" i="1"/>
  <c r="I14" i="1"/>
  <c r="I35" i="1" s="1"/>
  <c r="H14" i="1"/>
  <c r="G14" i="1"/>
  <c r="F14" i="1"/>
  <c r="F35" i="1" s="1"/>
  <c r="E14" i="1"/>
  <c r="D14" i="1"/>
  <c r="C14" i="1"/>
  <c r="I15" i="1"/>
  <c r="I36" i="1" s="1"/>
  <c r="H15" i="1"/>
  <c r="H36" i="1" s="1"/>
  <c r="G15" i="1"/>
  <c r="G36" i="1" s="1"/>
  <c r="E15" i="1"/>
  <c r="E36" i="1" s="1"/>
  <c r="D15" i="1"/>
  <c r="D36" i="1" s="1"/>
  <c r="C15" i="1"/>
  <c r="C36" i="1" s="1"/>
  <c r="J34" i="1"/>
  <c r="I13" i="1"/>
  <c r="H13" i="1"/>
  <c r="H34" i="1" s="1"/>
  <c r="G13" i="1"/>
  <c r="G34" i="1" s="1"/>
  <c r="F34" i="1"/>
  <c r="C13" i="1"/>
  <c r="C34" i="1" s="1"/>
  <c r="E13" i="1"/>
  <c r="E34" i="1" s="1"/>
  <c r="D13" i="1"/>
  <c r="D34" i="1" s="1"/>
  <c r="J12" i="1"/>
  <c r="J33" i="1" s="1"/>
  <c r="I12" i="1"/>
  <c r="I33" i="1" s="1"/>
  <c r="H12" i="1"/>
  <c r="H33" i="1" s="1"/>
  <c r="D12" i="1"/>
  <c r="D33" i="1" s="1"/>
  <c r="C12" i="1"/>
  <c r="C33" i="1" s="1"/>
  <c r="H11" i="1"/>
  <c r="H32" i="1" s="1"/>
  <c r="G11" i="1"/>
  <c r="G32" i="1" s="1"/>
  <c r="D11" i="1"/>
  <c r="D32" i="1" s="1"/>
  <c r="C11" i="1"/>
  <c r="C32" i="1" s="1"/>
  <c r="K10" i="1"/>
  <c r="J10" i="1"/>
  <c r="I10" i="1"/>
  <c r="G10" i="1"/>
  <c r="H10" i="1"/>
  <c r="F10" i="1"/>
  <c r="F31" i="1" s="1"/>
  <c r="E10" i="1"/>
  <c r="D10" i="1"/>
  <c r="C10" i="1"/>
  <c r="T36" i="1" l="1"/>
  <c r="J40" i="7"/>
  <c r="U35" i="1"/>
  <c r="K39" i="7"/>
  <c r="V39" i="7" s="1"/>
  <c r="Q31" i="1"/>
  <c r="G35" i="7"/>
  <c r="R35" i="7" s="1"/>
  <c r="O36" i="1"/>
  <c r="E40" i="7"/>
  <c r="P37" i="1"/>
  <c r="F41" i="7"/>
  <c r="J24" i="3"/>
  <c r="K56" i="7" s="1"/>
  <c r="K51" i="7"/>
  <c r="E18" i="3"/>
  <c r="F50" i="7" s="1"/>
  <c r="E17" i="3"/>
  <c r="F49" i="7" s="1"/>
  <c r="F47" i="7"/>
  <c r="E51" i="7"/>
  <c r="D24" i="3"/>
  <c r="E56" i="7" s="1"/>
  <c r="P56" i="7" s="1"/>
  <c r="E68" i="7" s="1"/>
  <c r="P68" i="7" s="1"/>
  <c r="E14" i="7" s="1"/>
  <c r="P36" i="1"/>
  <c r="F40" i="7"/>
  <c r="R37" i="1"/>
  <c r="H41" i="7"/>
  <c r="I18" i="3"/>
  <c r="J50" i="7" s="1"/>
  <c r="I17" i="3"/>
  <c r="J49" i="7" s="1"/>
  <c r="J47" i="7"/>
  <c r="E47" i="7"/>
  <c r="D16" i="3"/>
  <c r="E48" i="7" s="1"/>
  <c r="D18" i="3"/>
  <c r="E50" i="7" s="1"/>
  <c r="D17" i="3"/>
  <c r="E49" i="7" s="1"/>
  <c r="G35" i="1"/>
  <c r="N32" i="1"/>
  <c r="D36" i="7"/>
  <c r="O36" i="7" s="1"/>
  <c r="O48" i="7" s="1"/>
  <c r="D60" i="7" s="1"/>
  <c r="O60" i="7" s="1"/>
  <c r="D6" i="7" s="1"/>
  <c r="R36" i="1"/>
  <c r="H40" i="7"/>
  <c r="N37" i="1"/>
  <c r="D41" i="7"/>
  <c r="S37" i="1"/>
  <c r="I41" i="7"/>
  <c r="G16" i="3"/>
  <c r="H48" i="7" s="1"/>
  <c r="G18" i="3"/>
  <c r="H50" i="7" s="1"/>
  <c r="G17" i="3"/>
  <c r="H49" i="7" s="1"/>
  <c r="H47" i="7"/>
  <c r="I47" i="7"/>
  <c r="H18" i="3"/>
  <c r="I50" i="7" s="1"/>
  <c r="H17" i="3"/>
  <c r="I49" i="7" s="1"/>
  <c r="H16" i="3"/>
  <c r="I48" i="7" s="1"/>
  <c r="I51" i="7"/>
  <c r="H24" i="3"/>
  <c r="I56" i="7" s="1"/>
  <c r="T56" i="7" s="1"/>
  <c r="I68" i="7" s="1"/>
  <c r="T68" i="7" s="1"/>
  <c r="I14" i="7" s="1"/>
  <c r="D51" i="7"/>
  <c r="C24" i="3"/>
  <c r="D56" i="7" s="1"/>
  <c r="O56" i="7" s="1"/>
  <c r="D68" i="7" s="1"/>
  <c r="O68" i="7" s="1"/>
  <c r="D14" i="7" s="1"/>
  <c r="C35" i="1"/>
  <c r="D31" i="1"/>
  <c r="I31" i="1"/>
  <c r="J35" i="7" s="1"/>
  <c r="U35" i="7" s="1"/>
  <c r="V39" i="1"/>
  <c r="L43" i="7"/>
  <c r="P33" i="1"/>
  <c r="F37" i="7"/>
  <c r="Q37" i="7" s="1"/>
  <c r="Q49" i="7" s="1"/>
  <c r="F61" i="7" s="1"/>
  <c r="Q61" i="7" s="1"/>
  <c r="F7" i="7" s="1"/>
  <c r="F18" i="3"/>
  <c r="G50" i="7" s="1"/>
  <c r="F17" i="3"/>
  <c r="G49" i="7" s="1"/>
  <c r="G47" i="7"/>
  <c r="W44" i="7"/>
  <c r="W56" i="7" s="1"/>
  <c r="L68" i="7" s="1"/>
  <c r="W68" i="7" s="1"/>
  <c r="L14" i="7" s="1"/>
  <c r="V38" i="1"/>
  <c r="P34" i="1"/>
  <c r="F38" i="7"/>
  <c r="Q38" i="7" s="1"/>
  <c r="Q50" i="7" s="1"/>
  <c r="F62" i="7" s="1"/>
  <c r="Q62" i="7" s="1"/>
  <c r="F8" i="7" s="1"/>
  <c r="Q35" i="1"/>
  <c r="G39" i="7"/>
  <c r="R39" i="7" s="1"/>
  <c r="J18" i="3"/>
  <c r="K50" i="7" s="1"/>
  <c r="J17" i="3"/>
  <c r="K49" i="7" s="1"/>
  <c r="K47" i="7"/>
  <c r="P35" i="1"/>
  <c r="F39" i="7"/>
  <c r="Q39" i="7" s="1"/>
  <c r="T39" i="1"/>
  <c r="J43" i="7"/>
  <c r="I24" i="3"/>
  <c r="J56" i="7" s="1"/>
  <c r="J51" i="7"/>
  <c r="C31" i="1"/>
  <c r="D35" i="7" s="1"/>
  <c r="O35" i="7" s="1"/>
  <c r="O47" i="7" s="1"/>
  <c r="D59" i="7" s="1"/>
  <c r="O59" i="7" s="1"/>
  <c r="D5" i="7" s="1"/>
  <c r="T38" i="1"/>
  <c r="J42" i="7"/>
  <c r="T40" i="1"/>
  <c r="J44" i="7"/>
  <c r="U44" i="7" s="1"/>
  <c r="U56" i="7" s="1"/>
  <c r="J68" i="7" s="1"/>
  <c r="U68" i="7" s="1"/>
  <c r="J14" i="7" s="1"/>
  <c r="F24" i="3"/>
  <c r="G56" i="7" s="1"/>
  <c r="R56" i="7" s="1"/>
  <c r="G68" i="7" s="1"/>
  <c r="R68" i="7" s="1"/>
  <c r="G14" i="7" s="1"/>
  <c r="G51" i="7"/>
  <c r="O32" i="1"/>
  <c r="E36" i="7"/>
  <c r="P36" i="7" s="1"/>
  <c r="O33" i="1"/>
  <c r="E37" i="7"/>
  <c r="P37" i="7" s="1"/>
  <c r="O34" i="1"/>
  <c r="E38" i="7"/>
  <c r="P38" i="7" s="1"/>
  <c r="N36" i="1"/>
  <c r="D40" i="7"/>
  <c r="S36" i="1"/>
  <c r="I40" i="7"/>
  <c r="T35" i="1"/>
  <c r="J39" i="7"/>
  <c r="U39" i="7" s="1"/>
  <c r="U51" i="7" s="1"/>
  <c r="J63" i="7" s="1"/>
  <c r="U63" i="7" s="1"/>
  <c r="J9" i="7" s="1"/>
  <c r="O37" i="1"/>
  <c r="E41" i="7"/>
  <c r="T37" i="1"/>
  <c r="J41" i="7"/>
  <c r="H51" i="7"/>
  <c r="G24" i="3"/>
  <c r="H56" i="7" s="1"/>
  <c r="S56" i="7" s="1"/>
  <c r="H68" i="7" s="1"/>
  <c r="S68" i="7" s="1"/>
  <c r="H14" i="7" s="1"/>
  <c r="D47" i="7"/>
  <c r="C18" i="3"/>
  <c r="D50" i="7" s="1"/>
  <c r="C17" i="3"/>
  <c r="D49" i="7" s="1"/>
  <c r="C16" i="3"/>
  <c r="D48" i="7" s="1"/>
  <c r="E24" i="3"/>
  <c r="F56" i="7" s="1"/>
  <c r="Q56" i="7" s="1"/>
  <c r="F68" i="7" s="1"/>
  <c r="Q68" i="7" s="1"/>
  <c r="F14" i="7" s="1"/>
  <c r="F51" i="7"/>
  <c r="D35" i="1"/>
  <c r="E31" i="1"/>
  <c r="U40" i="1"/>
  <c r="K44" i="7"/>
  <c r="V44" i="7" s="1"/>
  <c r="V56" i="7" s="1"/>
  <c r="K68" i="7" s="1"/>
  <c r="V68" i="7" s="1"/>
  <c r="K14" i="7" s="1"/>
  <c r="L51" i="7"/>
  <c r="K24" i="3"/>
  <c r="L56" i="7" s="1"/>
  <c r="U39" i="1"/>
  <c r="U38" i="1"/>
  <c r="N34" i="1"/>
  <c r="D38" i="7"/>
  <c r="O38" i="7" s="1"/>
  <c r="N33" i="1"/>
  <c r="D37" i="7"/>
  <c r="O37" i="7" s="1"/>
  <c r="O49" i="7" s="1"/>
  <c r="D61" i="7" s="1"/>
  <c r="O61" i="7" s="1"/>
  <c r="D7" i="7" s="1"/>
  <c r="R34" i="1"/>
  <c r="H38" i="7"/>
  <c r="S38" i="7" s="1"/>
  <c r="V35" i="1"/>
  <c r="L39" i="7"/>
  <c r="G28" i="4"/>
  <c r="H26" i="7" s="1"/>
  <c r="S41" i="7" s="1"/>
  <c r="H25" i="7"/>
  <c r="S40" i="7" s="1"/>
  <c r="H28" i="4"/>
  <c r="I26" i="7" s="1"/>
  <c r="T41" i="7" s="1"/>
  <c r="I25" i="7"/>
  <c r="T40" i="7" s="1"/>
  <c r="I28" i="4"/>
  <c r="J26" i="7" s="1"/>
  <c r="J25" i="7"/>
  <c r="U40" i="7" s="1"/>
  <c r="D28" i="4"/>
  <c r="E26" i="7" s="1"/>
  <c r="P41" i="7" s="1"/>
  <c r="E25" i="7"/>
  <c r="P48" i="7"/>
  <c r="E60" i="7" s="1"/>
  <c r="P60" i="7" s="1"/>
  <c r="E6" i="7" s="1"/>
  <c r="E28" i="4"/>
  <c r="F26" i="7" s="1"/>
  <c r="Q41" i="7" s="1"/>
  <c r="F25" i="7"/>
  <c r="C28" i="4"/>
  <c r="D26" i="7" s="1"/>
  <c r="O41" i="7" s="1"/>
  <c r="D25" i="7"/>
  <c r="S32" i="1"/>
  <c r="I36" i="7"/>
  <c r="T36" i="7" s="1"/>
  <c r="R32" i="1"/>
  <c r="H36" i="7"/>
  <c r="S36" i="7" s="1"/>
  <c r="R33" i="1"/>
  <c r="H37" i="7"/>
  <c r="S37" i="7" s="1"/>
  <c r="S31" i="1"/>
  <c r="I35" i="7"/>
  <c r="T35" i="7" s="1"/>
  <c r="T33" i="1"/>
  <c r="J37" i="7"/>
  <c r="U37" i="7" s="1"/>
  <c r="S33" i="1"/>
  <c r="I37" i="7"/>
  <c r="T37" i="7" s="1"/>
  <c r="U33" i="1"/>
  <c r="K37" i="7"/>
  <c r="V37" i="7" s="1"/>
  <c r="T31" i="1"/>
  <c r="Q33" i="1"/>
  <c r="G37" i="7"/>
  <c r="R37" i="7" s="1"/>
  <c r="S34" i="1"/>
  <c r="I38" i="7"/>
  <c r="T38" i="7" s="1"/>
  <c r="T34" i="1"/>
  <c r="J38" i="7"/>
  <c r="U38" i="7" s="1"/>
  <c r="Q34" i="1"/>
  <c r="G38" i="7"/>
  <c r="R38" i="7" s="1"/>
  <c r="U34" i="1"/>
  <c r="K38" i="7"/>
  <c r="V38" i="7" s="1"/>
  <c r="I21" i="3"/>
  <c r="J53" i="7" s="1"/>
  <c r="D20" i="3"/>
  <c r="E52" i="7" s="1"/>
  <c r="G31" i="1"/>
  <c r="K31" i="1"/>
  <c r="H35" i="1"/>
  <c r="J31" i="1"/>
  <c r="C21" i="3"/>
  <c r="D53" i="7" s="1"/>
  <c r="C20" i="3"/>
  <c r="D52" i="7" s="1"/>
  <c r="G20" i="3"/>
  <c r="H52" i="7" s="1"/>
  <c r="G21" i="3"/>
  <c r="H53" i="7" s="1"/>
  <c r="E20" i="3"/>
  <c r="F52" i="7" s="1"/>
  <c r="E21" i="3"/>
  <c r="F53" i="7" s="1"/>
  <c r="H20" i="3"/>
  <c r="I52" i="7" s="1"/>
  <c r="H21" i="3"/>
  <c r="I53" i="7" s="1"/>
  <c r="I20" i="3"/>
  <c r="J52" i="7" s="1"/>
  <c r="D21" i="3"/>
  <c r="E53" i="7" s="1"/>
  <c r="Q40" i="7" l="1"/>
  <c r="U41" i="7"/>
  <c r="U53" i="7" s="1"/>
  <c r="J65" i="7" s="1"/>
  <c r="U65" i="7" s="1"/>
  <c r="J11" i="7" s="1"/>
  <c r="S50" i="7"/>
  <c r="H62" i="7" s="1"/>
  <c r="S62" i="7" s="1"/>
  <c r="H8" i="7" s="1"/>
  <c r="O50" i="7"/>
  <c r="D62" i="7" s="1"/>
  <c r="O62" i="7" s="1"/>
  <c r="D8" i="7" s="1"/>
  <c r="Q51" i="7"/>
  <c r="F63" i="7" s="1"/>
  <c r="Q63" i="7" s="1"/>
  <c r="F9" i="7" s="1"/>
  <c r="N35" i="1"/>
  <c r="D39" i="7"/>
  <c r="O39" i="7" s="1"/>
  <c r="O51" i="7" s="1"/>
  <c r="D63" i="7" s="1"/>
  <c r="O63" i="7" s="1"/>
  <c r="D9" i="7" s="1"/>
  <c r="R47" i="7"/>
  <c r="G59" i="7" s="1"/>
  <c r="R59" i="7" s="1"/>
  <c r="G5" i="7" s="1"/>
  <c r="S35" i="1"/>
  <c r="I39" i="7"/>
  <c r="O35" i="1"/>
  <c r="E39" i="7"/>
  <c r="P39" i="7" s="1"/>
  <c r="P51" i="7" s="1"/>
  <c r="E63" i="7" s="1"/>
  <c r="P63" i="7" s="1"/>
  <c r="E9" i="7" s="1"/>
  <c r="V51" i="7"/>
  <c r="K63" i="7" s="1"/>
  <c r="V63" i="7" s="1"/>
  <c r="K9" i="7" s="1"/>
  <c r="P40" i="7"/>
  <c r="P49" i="7"/>
  <c r="E61" i="7" s="1"/>
  <c r="P61" i="7" s="1"/>
  <c r="E7" i="7" s="1"/>
  <c r="N31" i="1"/>
  <c r="O31" i="1"/>
  <c r="E35" i="7"/>
  <c r="P35" i="7" s="1"/>
  <c r="P47" i="7" s="1"/>
  <c r="E59" i="7" s="1"/>
  <c r="P59" i="7" s="1"/>
  <c r="E5" i="7" s="1"/>
  <c r="O40" i="7"/>
  <c r="P31" i="1"/>
  <c r="F35" i="7"/>
  <c r="Q35" i="7" s="1"/>
  <c r="Q47" i="7" s="1"/>
  <c r="F59" i="7" s="1"/>
  <c r="Q59" i="7" s="1"/>
  <c r="F5" i="7" s="1"/>
  <c r="P50" i="7"/>
  <c r="E62" i="7" s="1"/>
  <c r="P62" i="7" s="1"/>
  <c r="E8" i="7" s="1"/>
  <c r="R51" i="7"/>
  <c r="G63" i="7" s="1"/>
  <c r="R63" i="7" s="1"/>
  <c r="G9" i="7" s="1"/>
  <c r="R35" i="1"/>
  <c r="H39" i="7"/>
  <c r="S39" i="7" s="1"/>
  <c r="S51" i="7" s="1"/>
  <c r="H63" i="7" s="1"/>
  <c r="S63" i="7" s="1"/>
  <c r="H9" i="7" s="1"/>
  <c r="V31" i="1"/>
  <c r="L35" i="7"/>
  <c r="W35" i="7" s="1"/>
  <c r="W47" i="7" s="1"/>
  <c r="L59" i="7" s="1"/>
  <c r="W59" i="7" s="1"/>
  <c r="L5" i="7" s="1"/>
  <c r="W39" i="7" s="1"/>
  <c r="Q53" i="7"/>
  <c r="F65" i="7" s="1"/>
  <c r="Q65" i="7" s="1"/>
  <c r="F11" i="7" s="1"/>
  <c r="P52" i="7"/>
  <c r="E64" i="7" s="1"/>
  <c r="P64" i="7" s="1"/>
  <c r="E10" i="7" s="1"/>
  <c r="T52" i="7"/>
  <c r="I64" i="7" s="1"/>
  <c r="T64" i="7" s="1"/>
  <c r="I10" i="7" s="1"/>
  <c r="T53" i="7"/>
  <c r="I65" i="7" s="1"/>
  <c r="T65" i="7" s="1"/>
  <c r="I11" i="7" s="1"/>
  <c r="S52" i="7"/>
  <c r="H64" i="7" s="1"/>
  <c r="S64" i="7" s="1"/>
  <c r="H10" i="7" s="1"/>
  <c r="U52" i="7"/>
  <c r="J64" i="7" s="1"/>
  <c r="U64" i="7" s="1"/>
  <c r="J10" i="7" s="1"/>
  <c r="P53" i="7"/>
  <c r="E65" i="7" s="1"/>
  <c r="P65" i="7" s="1"/>
  <c r="E11" i="7" s="1"/>
  <c r="S53" i="7"/>
  <c r="H65" i="7" s="1"/>
  <c r="S65" i="7" s="1"/>
  <c r="H11" i="7" s="1"/>
  <c r="Q52" i="7"/>
  <c r="F64" i="7" s="1"/>
  <c r="Q64" i="7" s="1"/>
  <c r="F10" i="7" s="1"/>
  <c r="O53" i="7"/>
  <c r="D65" i="7" s="1"/>
  <c r="O65" i="7" s="1"/>
  <c r="D11" i="7" s="1"/>
  <c r="O52" i="7"/>
  <c r="D64" i="7" s="1"/>
  <c r="O64" i="7" s="1"/>
  <c r="D10" i="7" s="1"/>
  <c r="T48" i="7"/>
  <c r="I60" i="7" s="1"/>
  <c r="T60" i="7" s="1"/>
  <c r="I6" i="7" s="1"/>
  <c r="S48" i="7"/>
  <c r="H60" i="7" s="1"/>
  <c r="S60" i="7" s="1"/>
  <c r="H6" i="7" s="1"/>
  <c r="U49" i="7"/>
  <c r="J61" i="7" s="1"/>
  <c r="U61" i="7" s="1"/>
  <c r="J7" i="7" s="1"/>
  <c r="T49" i="7"/>
  <c r="I61" i="7" s="1"/>
  <c r="T61" i="7" s="1"/>
  <c r="I7" i="7" s="1"/>
  <c r="T47" i="7"/>
  <c r="I59" i="7" s="1"/>
  <c r="T59" i="7" s="1"/>
  <c r="I5" i="7" s="1"/>
  <c r="T39" i="7" s="1"/>
  <c r="U31" i="1"/>
  <c r="K35" i="7"/>
  <c r="V35" i="7" s="1"/>
  <c r="V49" i="7"/>
  <c r="K61" i="7" s="1"/>
  <c r="V61" i="7" s="1"/>
  <c r="K7" i="7" s="1"/>
  <c r="S49" i="7"/>
  <c r="H61" i="7" s="1"/>
  <c r="S61" i="7" s="1"/>
  <c r="H7" i="7" s="1"/>
  <c r="U47" i="7"/>
  <c r="J59" i="7" s="1"/>
  <c r="U59" i="7" s="1"/>
  <c r="J5" i="7" s="1"/>
  <c r="R31" i="1"/>
  <c r="H35" i="7"/>
  <c r="S35" i="7" s="1"/>
  <c r="R49" i="7"/>
  <c r="G61" i="7" s="1"/>
  <c r="R61" i="7" s="1"/>
  <c r="G7" i="7" s="1"/>
  <c r="U50" i="7"/>
  <c r="J62" i="7" s="1"/>
  <c r="U62" i="7" s="1"/>
  <c r="J8" i="7" s="1"/>
  <c r="T50" i="7"/>
  <c r="I62" i="7" s="1"/>
  <c r="T62" i="7" s="1"/>
  <c r="I8" i="7" s="1"/>
  <c r="R50" i="7"/>
  <c r="G62" i="7" s="1"/>
  <c r="R62" i="7" s="1"/>
  <c r="G8" i="7" s="1"/>
  <c r="V50" i="7"/>
  <c r="K62" i="7" s="1"/>
  <c r="V62" i="7" s="1"/>
  <c r="K8" i="7" s="1"/>
  <c r="T42" i="7"/>
  <c r="Q42" i="7"/>
  <c r="V43" i="7"/>
  <c r="P42" i="7"/>
  <c r="U43" i="7"/>
  <c r="W42" i="7"/>
  <c r="S43" i="7"/>
  <c r="O42" i="7"/>
  <c r="P43" i="7"/>
  <c r="W43" i="7"/>
  <c r="R42" i="7"/>
  <c r="R43" i="7"/>
  <c r="S42" i="7"/>
  <c r="O43" i="7"/>
  <c r="T43" i="7"/>
  <c r="Q43" i="7"/>
  <c r="V42" i="7"/>
  <c r="U42" i="7"/>
  <c r="V54" i="7" l="1"/>
  <c r="K66" i="7" s="1"/>
  <c r="V66" i="7" s="1"/>
  <c r="K12" i="7" s="1"/>
  <c r="S54" i="7"/>
  <c r="H66" i="7" s="1"/>
  <c r="S66" i="7" s="1"/>
  <c r="H12" i="7" s="1"/>
  <c r="U55" i="7"/>
  <c r="J67" i="7" s="1"/>
  <c r="U67" i="7" s="1"/>
  <c r="J13" i="7" s="1"/>
  <c r="Q55" i="7"/>
  <c r="F67" i="7" s="1"/>
  <c r="Q67" i="7" s="1"/>
  <c r="F13" i="7" s="1"/>
  <c r="W54" i="7"/>
  <c r="L66" i="7" s="1"/>
  <c r="W66" i="7" s="1"/>
  <c r="L12" i="7" s="1"/>
  <c r="P54" i="7"/>
  <c r="E66" i="7" s="1"/>
  <c r="P66" i="7" s="1"/>
  <c r="E12" i="7" s="1"/>
  <c r="T51" i="7"/>
  <c r="I63" i="7" s="1"/>
  <c r="T63" i="7" s="1"/>
  <c r="I9" i="7" s="1"/>
  <c r="P55" i="7"/>
  <c r="E67" i="7" s="1"/>
  <c r="P67" i="7" s="1"/>
  <c r="E13" i="7" s="1"/>
  <c r="T54" i="7"/>
  <c r="I66" i="7" s="1"/>
  <c r="T66" i="7" s="1"/>
  <c r="I12" i="7" s="1"/>
  <c r="T55" i="7"/>
  <c r="I67" i="7" s="1"/>
  <c r="T67" i="7" s="1"/>
  <c r="I13" i="7" s="1"/>
  <c r="S55" i="7"/>
  <c r="H67" i="7" s="1"/>
  <c r="S67" i="7" s="1"/>
  <c r="H13" i="7" s="1"/>
  <c r="R55" i="7"/>
  <c r="G67" i="7" s="1"/>
  <c r="R67" i="7" s="1"/>
  <c r="G13" i="7" s="1"/>
  <c r="R54" i="7"/>
  <c r="G66" i="7" s="1"/>
  <c r="R66" i="7" s="1"/>
  <c r="G12" i="7" s="1"/>
  <c r="V55" i="7"/>
  <c r="K67" i="7" s="1"/>
  <c r="V67" i="7" s="1"/>
  <c r="K13" i="7" s="1"/>
  <c r="W51" i="7"/>
  <c r="L63" i="7" s="1"/>
  <c r="W63" i="7" s="1"/>
  <c r="L9" i="7" s="1"/>
  <c r="U54" i="7"/>
  <c r="J66" i="7" s="1"/>
  <c r="U66" i="7" s="1"/>
  <c r="J12" i="7" s="1"/>
  <c r="W55" i="7"/>
  <c r="L67" i="7" s="1"/>
  <c r="W67" i="7" s="1"/>
  <c r="L13" i="7" s="1"/>
  <c r="Q54" i="7"/>
  <c r="F66" i="7" s="1"/>
  <c r="Q66" i="7" s="1"/>
  <c r="F12" i="7" s="1"/>
  <c r="O54" i="7"/>
  <c r="D66" i="7" s="1"/>
  <c r="O66" i="7" s="1"/>
  <c r="D12" i="7" s="1"/>
  <c r="O55" i="7"/>
  <c r="D67" i="7" s="1"/>
  <c r="O67" i="7" s="1"/>
  <c r="D13" i="7" s="1"/>
  <c r="V47" i="7"/>
  <c r="K59" i="7" s="1"/>
  <c r="V59" i="7" s="1"/>
  <c r="K5" i="7" s="1"/>
  <c r="S47" i="7"/>
  <c r="H59" i="7" s="1"/>
  <c r="S59" i="7" s="1"/>
  <c r="H5" i="7" s="1"/>
</calcChain>
</file>

<file path=xl/sharedStrings.xml><?xml version="1.0" encoding="utf-8"?>
<sst xmlns="http://schemas.openxmlformats.org/spreadsheetml/2006/main" count="404" uniqueCount="127">
  <si>
    <t>15-24cm</t>
  </si>
  <si>
    <t>25-34cm</t>
  </si>
  <si>
    <t>Initial Phase</t>
  </si>
  <si>
    <t>Terminal Phase</t>
  </si>
  <si>
    <t>Study</t>
  </si>
  <si>
    <t>Life phase</t>
  </si>
  <si>
    <t>Region/species</t>
  </si>
  <si>
    <t>References:</t>
  </si>
  <si>
    <t>Froese R, Pauly D (2018) FishBase. World Wide Web electronic publication. www.fishbase.org (08/2018)</t>
  </si>
  <si>
    <r>
      <t>Afeworki, Y., Zekeria, Z. A., Videler, J. J., &amp; Bruggemann, J. H. (2013). Food intake by the parrotfish Scarus ferrugineus varies seasonally and is determined by temperature, size and territoriality. </t>
    </r>
    <r>
      <rPr>
        <i/>
        <sz val="10"/>
        <color indexed="63"/>
        <rFont val="Arial"/>
        <family val="2"/>
      </rPr>
      <t>Marine Ecology Progress Series</t>
    </r>
    <r>
      <rPr>
        <sz val="10"/>
        <color indexed="63"/>
        <rFont val="Arial"/>
        <family val="2"/>
      </rPr>
      <t>, </t>
    </r>
    <r>
      <rPr>
        <i/>
        <sz val="10"/>
        <color indexed="63"/>
        <rFont val="Arial"/>
        <family val="2"/>
      </rPr>
      <t>489</t>
    </r>
    <r>
      <rPr>
        <sz val="10"/>
        <color indexed="63"/>
        <rFont val="Arial"/>
        <family val="2"/>
      </rPr>
      <t>, 213-224.</t>
    </r>
  </si>
  <si>
    <r>
      <t>Bellwood, D. R. (1995). Direct estimate of bioerosion by two parrotfish species, Chlorurus gibbus and C. sordidus, on the Great Barrier Reef, Australia. </t>
    </r>
    <r>
      <rPr>
        <i/>
        <sz val="10"/>
        <color indexed="63"/>
        <rFont val="Arial"/>
        <family val="2"/>
      </rPr>
      <t>Marine Biology</t>
    </r>
    <r>
      <rPr>
        <sz val="10"/>
        <color indexed="63"/>
        <rFont val="Arial"/>
        <family val="2"/>
      </rPr>
      <t>, </t>
    </r>
    <r>
      <rPr>
        <i/>
        <sz val="10"/>
        <color indexed="63"/>
        <rFont val="Arial"/>
        <family val="2"/>
      </rPr>
      <t>121</t>
    </r>
    <r>
      <rPr>
        <sz val="10"/>
        <color indexed="63"/>
        <rFont val="Arial"/>
        <family val="2"/>
      </rPr>
      <t>(3), 419-429</t>
    </r>
  </si>
  <si>
    <r>
      <t>Lokrantz, J., Nyström, M., Thyresson, M., &amp; Johansson, C. (2008). The non-linear relationship between body size and function in parrotfishes. </t>
    </r>
    <r>
      <rPr>
        <i/>
        <sz val="10"/>
        <color indexed="63"/>
        <rFont val="Arial"/>
        <family val="2"/>
      </rPr>
      <t>Coral Reefs</t>
    </r>
    <r>
      <rPr>
        <sz val="10"/>
        <color indexed="63"/>
        <rFont val="Arial"/>
        <family val="2"/>
      </rPr>
      <t>, </t>
    </r>
    <r>
      <rPr>
        <i/>
        <sz val="10"/>
        <color indexed="63"/>
        <rFont val="Arial"/>
        <family val="2"/>
      </rPr>
      <t>27</t>
    </r>
    <r>
      <rPr>
        <sz val="10"/>
        <color indexed="63"/>
        <rFont val="Arial"/>
        <family val="2"/>
      </rPr>
      <t>(4), 967-974.</t>
    </r>
  </si>
  <si>
    <r>
      <t>Ong, L., &amp; Holland, K. N. (2010). Bioerosion of coral reefs by two Hawaiian parrotfishes: species, size differences and fishery implications. </t>
    </r>
    <r>
      <rPr>
        <i/>
        <sz val="10"/>
        <color indexed="63"/>
        <rFont val="Arial"/>
        <family val="2"/>
      </rPr>
      <t>Marine biology</t>
    </r>
    <r>
      <rPr>
        <sz val="10"/>
        <color indexed="63"/>
        <rFont val="Arial"/>
        <family val="2"/>
      </rPr>
      <t>, </t>
    </r>
    <r>
      <rPr>
        <i/>
        <sz val="10"/>
        <color indexed="63"/>
        <rFont val="Arial"/>
        <family val="2"/>
      </rPr>
      <t>157</t>
    </r>
    <r>
      <rPr>
        <sz val="10"/>
        <color indexed="63"/>
        <rFont val="Arial"/>
        <family val="2"/>
      </rPr>
      <t>(6), 1313-1323.</t>
    </r>
  </si>
  <si>
    <t>Caribbean</t>
  </si>
  <si>
    <t>Sparisoma viride</t>
  </si>
  <si>
    <t>Scarus vetula</t>
  </si>
  <si>
    <t>25-35cm</t>
  </si>
  <si>
    <t>5-14cm</t>
  </si>
  <si>
    <t>&gt;35cm</t>
  </si>
  <si>
    <t>Bruggemann et al. 1996</t>
  </si>
  <si>
    <t>Bonaire</t>
  </si>
  <si>
    <t>Mumby et al. 2006</t>
  </si>
  <si>
    <t>Sparisoma aurofrenatum</t>
  </si>
  <si>
    <t>Sparisoma rubripinne</t>
  </si>
  <si>
    <t>Sparisoma chrysopterum</t>
  </si>
  <si>
    <t>Scarus taeniopterus</t>
  </si>
  <si>
    <t>y=1(IP)or0.8(TP)*((1088.84-(17.12*FL))-56)/60</t>
  </si>
  <si>
    <t>y=1(IP)or0.8(TP)*((1088.84-(17.12*FL))-260)/60</t>
  </si>
  <si>
    <t>y=1(IP)or0.8(TP)*((1088.84-(17.12*FL))-142)/60</t>
  </si>
  <si>
    <t>y=1(IP)or0.8(TP)*((1088.84-(17.12*FL))-264)/60</t>
  </si>
  <si>
    <t>y=1(IP)or0.85(TP)*(3329-(33.00*FL))/60</t>
  </si>
  <si>
    <t>y=1(IP)or0.85(TP)*((3329-(33.00*FL))-1196)/60</t>
  </si>
  <si>
    <t>y=1(IP)or0.85(TP)*((3329-(33.00*FL))-1714)/60</t>
  </si>
  <si>
    <t>Adam et al. 2015</t>
  </si>
  <si>
    <t>Adam et al. 2018</t>
  </si>
  <si>
    <t>Florida</t>
  </si>
  <si>
    <t>Scarus guacamaia</t>
  </si>
  <si>
    <t>Scarus coelestinus</t>
  </si>
  <si>
    <t>Scarus coeruleus</t>
  </si>
  <si>
    <t>from Figure S2</t>
  </si>
  <si>
    <t>bite rates decreasing with length (avg 11, 45 cm)</t>
  </si>
  <si>
    <t>no correlation with length</t>
  </si>
  <si>
    <t>bite rates decreasing with length (avg 12, 40 cm)</t>
  </si>
  <si>
    <t>bite rates decreasing with length (avg 12, 42 cm)</t>
  </si>
  <si>
    <t>bite rates decreasing with length (avg 24, 25 cm)</t>
  </si>
  <si>
    <t>bite rates decreasing with length (avg 25, 32 cm)</t>
  </si>
  <si>
    <t>Adam, T. C., Kelley, M., Ruttenberg, B. I., &amp; Burkepile, D. E. (2015). Resource partitioning along multiple niche axes drives functional diversity in parrotfishes on Caribbean coral reefs. Oecologia, 179(4), 1173-1185.</t>
  </si>
  <si>
    <t>Adam, T. C., Duran, A., Fuchs, C. E., Roycroft, M. V., Rojas, M. C., Ruttenberg, B. I., &amp; Burkepile, D. E. (2018). Comparative analysis of foraging behavior and bite mechanics reveals complex functional diversity among Caribbean parrotfishes. Marine Ecology Progress Series, 597, 207-220.</t>
  </si>
  <si>
    <t>Bruggemann, J. H., Van Kessel, A. M., Van Rooij, J. M., &amp; Breeman, A. M. (1996). Bioerosion and sediment ingestion by the Caribbean parrotfish Scarus vetula and Sparisoma viride: implications of fish size, feeding mode and habitat use. Marine Ecology Progress Series, 134, 59-71.</t>
  </si>
  <si>
    <t>Mumby, P. J. (2006). The impact of exploiting grazers (Scaridae) on the dynamics of Caribbean coral reefs. Ecological Applications, 16(2), 747-769.</t>
  </si>
  <si>
    <t>average Caribbean</t>
  </si>
  <si>
    <t>10-19cm</t>
  </si>
  <si>
    <t>20-29cm</t>
  </si>
  <si>
    <t>30-39cm</t>
  </si>
  <si>
    <t>40-49cm</t>
  </si>
  <si>
    <t>50-59cm</t>
  </si>
  <si>
    <t>species</t>
  </si>
  <si>
    <t>overall size classes</t>
  </si>
  <si>
    <t>study size classes</t>
  </si>
  <si>
    <t>from daily feeding rate assuming 12 h day</t>
  </si>
  <si>
    <r>
      <t xml:space="preserve">substituted with </t>
    </r>
    <r>
      <rPr>
        <i/>
        <sz val="11"/>
        <color indexed="8"/>
        <rFont val="Calibri"/>
        <family val="2"/>
      </rPr>
      <t xml:space="preserve">S. taeniopterus </t>
    </r>
    <r>
      <rPr>
        <sz val="11"/>
        <color theme="1"/>
        <rFont val="Calibri"/>
        <family val="2"/>
        <scheme val="minor"/>
      </rPr>
      <t>(closest relative, similar size)</t>
    </r>
  </si>
  <si>
    <r>
      <t xml:space="preserve">Chlorurus gibbus </t>
    </r>
    <r>
      <rPr>
        <sz val="11"/>
        <color theme="1"/>
        <rFont val="Calibri"/>
        <family val="2"/>
        <scheme val="minor"/>
      </rPr>
      <t>and large parrotfish</t>
    </r>
  </si>
  <si>
    <r>
      <t xml:space="preserve">Chlorurus sordidus </t>
    </r>
    <r>
      <rPr>
        <sz val="11"/>
        <color theme="1"/>
        <rFont val="Calibri"/>
        <family val="2"/>
        <scheme val="minor"/>
      </rPr>
      <t>and small parrotfish</t>
    </r>
  </si>
  <si>
    <t>smaller size classes estimated</t>
  </si>
  <si>
    <t>bites per hour</t>
  </si>
  <si>
    <t>small size classes extrapolated from formula</t>
  </si>
  <si>
    <t>Notes</t>
  </si>
  <si>
    <t>Grey cells in tables indicate size classes above max size reported at fishbase</t>
  </si>
  <si>
    <r>
      <t>Bite rate (bites min</t>
    </r>
    <r>
      <rPr>
        <b/>
        <vertAlign val="superscript"/>
        <sz val="11"/>
        <rFont val="Calibri"/>
        <family val="2"/>
        <scheme val="minor"/>
      </rPr>
      <t>-1</t>
    </r>
    <r>
      <rPr>
        <b/>
        <sz val="11"/>
        <rFont val="Calibri"/>
        <family val="2"/>
        <scheme val="minor"/>
      </rPr>
      <t>)</t>
    </r>
  </si>
  <si>
    <t>Parrotfish bite rates</t>
  </si>
  <si>
    <r>
      <t>Bite rate (bites min</t>
    </r>
    <r>
      <rPr>
        <b/>
        <vertAlign val="superscript"/>
        <sz val="12"/>
        <color indexed="8"/>
        <rFont val="Calibri"/>
        <family val="2"/>
      </rPr>
      <t>-1</t>
    </r>
    <r>
      <rPr>
        <b/>
        <sz val="12"/>
        <color indexed="8"/>
        <rFont val="Calibri"/>
        <family val="2"/>
      </rPr>
      <t>)</t>
    </r>
  </si>
  <si>
    <t>Scarus iseri</t>
  </si>
  <si>
    <t>Caribbean species</t>
  </si>
  <si>
    <r>
      <t xml:space="preserve">% of day feeding </t>
    </r>
    <r>
      <rPr>
        <sz val="11"/>
        <color theme="1"/>
        <rFont val="Calibri"/>
        <family val="2"/>
        <scheme val="minor"/>
      </rPr>
      <t>(Bellwood et al. 1995) from Indo-Pacific study</t>
    </r>
  </si>
  <si>
    <t>y=0.000579 *TL^2</t>
  </si>
  <si>
    <t>y=4.013*10^-4*TL^2</t>
  </si>
  <si>
    <t>y=5.257*10^-4*TL^2</t>
  </si>
  <si>
    <t>Parrotfish scar areas</t>
  </si>
  <si>
    <r>
      <t>Scar areas (cm</t>
    </r>
    <r>
      <rPr>
        <b/>
        <vertAlign val="superscript"/>
        <sz val="12"/>
        <color indexed="8"/>
        <rFont val="Calibri"/>
        <family val="2"/>
      </rPr>
      <t>2</t>
    </r>
    <r>
      <rPr>
        <b/>
        <sz val="12"/>
        <color indexed="8"/>
        <rFont val="Calibri"/>
        <family val="2"/>
      </rPr>
      <t>)</t>
    </r>
  </si>
  <si>
    <r>
      <t xml:space="preserve">substituted with </t>
    </r>
    <r>
      <rPr>
        <i/>
        <sz val="11"/>
        <color theme="1"/>
        <rFont val="Calibri"/>
        <family val="2"/>
        <scheme val="minor"/>
      </rPr>
      <t>S. vetula</t>
    </r>
    <r>
      <rPr>
        <sz val="11"/>
        <color theme="1"/>
        <rFont val="Calibri"/>
        <family val="2"/>
        <scheme val="minor"/>
      </rPr>
      <t xml:space="preserve"> (sister species)</t>
    </r>
  </si>
  <si>
    <t>Sparisoma</t>
  </si>
  <si>
    <t>Scarus</t>
  </si>
  <si>
    <t xml:space="preserve">from Fig. 2, exended over all size classes </t>
  </si>
  <si>
    <t>Probability of feeding on macroalgae increases with fish length, but actual proportion of bites not given for different sizes</t>
  </si>
  <si>
    <t>Scraper</t>
  </si>
  <si>
    <r>
      <t xml:space="preserve">scrapes&amp;crops, substituted with </t>
    </r>
    <r>
      <rPr>
        <i/>
        <sz val="11"/>
        <color theme="1"/>
        <rFont val="Calibri"/>
        <family val="2"/>
        <scheme val="minor"/>
      </rPr>
      <t>S. vetula</t>
    </r>
    <r>
      <rPr>
        <sz val="11"/>
        <color theme="1"/>
        <rFont val="Calibri"/>
        <family val="2"/>
        <scheme val="minor"/>
      </rPr>
      <t xml:space="preserve"> (closest relative)</t>
    </r>
  </si>
  <si>
    <t>Cropper, feeds on long, sediment-laden turf,  substituted with S. vetula (closest relative)</t>
  </si>
  <si>
    <t>Browsers, tear long-sediment-laden turfs and macroalgae from the reef,  substituted with Sp. viride (closest relative)</t>
  </si>
  <si>
    <t>feeds on long, sediment-laden turf</t>
  </si>
  <si>
    <t>Excavator</t>
  </si>
  <si>
    <t>targets short turf</t>
  </si>
  <si>
    <t>targets short turf and CCA</t>
  </si>
  <si>
    <r>
      <t>Size class specific sediment reworking rates (kg m</t>
    </r>
    <r>
      <rPr>
        <b/>
        <vertAlign val="superscript"/>
        <sz val="11"/>
        <color theme="1"/>
        <rFont val="Calibri"/>
        <family val="2"/>
        <scheme val="minor"/>
      </rPr>
      <t>-2</t>
    </r>
    <r>
      <rPr>
        <b/>
        <sz val="11"/>
        <color theme="1"/>
        <rFont val="Calibri"/>
        <family val="2"/>
        <scheme val="minor"/>
      </rPr>
      <t xml:space="preserve"> yr</t>
    </r>
    <r>
      <rPr>
        <b/>
        <vertAlign val="superscript"/>
        <sz val="11"/>
        <color theme="1"/>
        <rFont val="Calibri"/>
        <family val="2"/>
        <scheme val="minor"/>
      </rPr>
      <t>-1</t>
    </r>
    <r>
      <rPr>
        <b/>
        <sz val="11"/>
        <color theme="1"/>
        <rFont val="Calibri"/>
        <family val="2"/>
        <scheme val="minor"/>
      </rPr>
      <t>)</t>
    </r>
  </si>
  <si>
    <t>Turf</t>
  </si>
  <si>
    <t>EAM (Turf + CCA/turf)</t>
  </si>
  <si>
    <t>target macroalgae and long, sediment-laden turfs</t>
  </si>
  <si>
    <r>
      <t>Turf Sediment load (g m</t>
    </r>
    <r>
      <rPr>
        <b/>
        <vertAlign val="superscript"/>
        <sz val="11"/>
        <color indexed="8"/>
        <rFont val="Calibri"/>
        <family val="2"/>
      </rPr>
      <t>-2</t>
    </r>
    <r>
      <rPr>
        <b/>
        <sz val="11"/>
        <color indexed="8"/>
        <rFont val="Calibri"/>
        <family val="2"/>
      </rPr>
      <t>)</t>
    </r>
  </si>
  <si>
    <r>
      <t>Area grazed per bite (cm</t>
    </r>
    <r>
      <rPr>
        <b/>
        <vertAlign val="superscript"/>
        <sz val="11"/>
        <color theme="1"/>
        <rFont val="Calibri"/>
        <family val="2"/>
        <scheme val="minor"/>
      </rPr>
      <t>2</t>
    </r>
    <r>
      <rPr>
        <b/>
        <sz val="11"/>
        <color theme="1"/>
        <rFont val="Calibri"/>
        <family val="2"/>
        <scheme val="minor"/>
      </rPr>
      <t>)</t>
    </r>
  </si>
  <si>
    <r>
      <t>Bites on turf min</t>
    </r>
    <r>
      <rPr>
        <b/>
        <vertAlign val="superscript"/>
        <sz val="11"/>
        <color theme="1"/>
        <rFont val="Calibri"/>
        <family val="2"/>
        <scheme val="minor"/>
      </rPr>
      <t>-1</t>
    </r>
  </si>
  <si>
    <t>Mass sediment reworked per day (kg)</t>
  </si>
  <si>
    <r>
      <t>Area grazed per day (m</t>
    </r>
    <r>
      <rPr>
        <b/>
        <vertAlign val="superscript"/>
        <sz val="11"/>
        <color theme="1"/>
        <rFont val="Calibri"/>
        <family val="2"/>
        <scheme val="minor"/>
      </rPr>
      <t>2</t>
    </r>
    <r>
      <rPr>
        <b/>
        <sz val="11"/>
        <color theme="1"/>
        <rFont val="Calibri"/>
        <family val="2"/>
        <scheme val="minor"/>
      </rPr>
      <t>)</t>
    </r>
  </si>
  <si>
    <t>Mass sediment reworked per year (kg)</t>
  </si>
  <si>
    <t>Proportion of bites on EAM</t>
  </si>
  <si>
    <t>~Sp. viride and large Scarus</t>
  </si>
  <si>
    <t>Parrotfish proportion of bites on epilithic algal matrix (EAM)</t>
  </si>
  <si>
    <t>~other Sparisoma and small Scarus</t>
  </si>
  <si>
    <t>largest size class substituted with more realistic value</t>
  </si>
  <si>
    <t>60-80% of ingested sediment from epilithic algae or reworked (Bruggemann 1996)</t>
  </si>
  <si>
    <t>10-15% of ingested sediment from epilithic algae or reworked (Bruggemann 1996)</t>
  </si>
  <si>
    <t>browse extensively on macroalga and long, sediment-laden turf. No erosion (Adam et al. 2018)</t>
  </si>
  <si>
    <t>feeds almost exclusively on long sediment-laden turf. No erosion (Adam et al. 2018)</t>
  </si>
  <si>
    <t>Gordon et al. 2016 (GBR)</t>
  </si>
  <si>
    <r>
      <rPr>
        <b/>
        <sz val="11"/>
        <color theme="1"/>
        <rFont val="Calibri"/>
        <family val="2"/>
        <scheme val="minor"/>
      </rPr>
      <t>long</t>
    </r>
    <r>
      <rPr>
        <sz val="11"/>
        <color theme="1"/>
        <rFont val="Calibri"/>
        <family val="2"/>
        <scheme val="minor"/>
      </rPr>
      <t xml:space="preserve"> (&gt;5 mm)</t>
    </r>
  </si>
  <si>
    <r>
      <rPr>
        <b/>
        <sz val="11"/>
        <color theme="1"/>
        <rFont val="Calibri"/>
        <family val="2"/>
        <scheme val="minor"/>
      </rPr>
      <t xml:space="preserve">short </t>
    </r>
    <r>
      <rPr>
        <sz val="11"/>
        <color theme="1"/>
        <rFont val="Calibri"/>
        <family val="2"/>
        <scheme val="minor"/>
      </rPr>
      <t>(&lt;5)</t>
    </r>
  </si>
  <si>
    <t>1. Juveniles are excluded from calculations as there is not enough data on bite sizes.</t>
  </si>
  <si>
    <t>3. Bite areas increase with fish size following a power function (Lokrantz et al. 2008). Referenced functions were used to calculate bite areas for mid-points of size classes.</t>
  </si>
  <si>
    <t>4. Grey text indicates substitute values from other phase/size class or values where no specific size was given.</t>
  </si>
  <si>
    <t>5. Greyed out cells indicate size classes above the maximum length of the species reported at fishbase.org.</t>
  </si>
  <si>
    <t>6. Last update: October 2020</t>
  </si>
  <si>
    <t>2. Bite rates are not always influenced by life phase (e.g. Afeworki et al. 2013), which is why values for one phase were sometimes substituted with the same size class of the other phase to increase data coverage.</t>
  </si>
  <si>
    <t>average over shallow reef and reef slope</t>
  </si>
  <si>
    <t>add all turf categories</t>
  </si>
  <si>
    <t>average over shallow reef and drop-off</t>
  </si>
  <si>
    <t>Bruggemann et al. 1994a</t>
  </si>
  <si>
    <t>Bruggemann et al. 1994b</t>
  </si>
  <si>
    <t>Bruggemann, J. H., Kuyper, M. W. M., &amp; Breeman, A. M. (1994b). Comparative analysis of foraging and habitat use by the sympatric Caribbean parrotfish Scarus vetula and Sparisoma viride. Marine Ecology Progress Series 112: 51-66.</t>
  </si>
  <si>
    <t>Bruggemann, J. H., Van Oppen, M. J., &amp; Breeman, A. M. (1994a). Foraging by the stoplight parrotfish Sparisoma viride. I. Food selection in different, socially determined habitats. Marine Ecology-Progress Series, 106, 41-41.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</si>
</sst>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0.0"/>
    <numFmt numFmtId="166" formatCode="0.0000"/>
  </numFmts>
  <fonts count="32" x14ac:knownFonts="1">
    <font>
      <sz val="11"/>
      <color theme="1"/>
      <name val="Calibri"/>
      <family val="2"/>
      <scheme val="minor"/>
    </font>
    <font>
      <sz val="11"/>
      <color indexed="8"/>
      <name val="Calibri"/>
      <family val="2"/>
    </font>
    <font>
      <b/>
      <sz val="11"/>
      <color indexed="8"/>
      <name val="Calibri"/>
      <family val="2"/>
    </font>
    <font>
      <b/>
      <sz val="11"/>
      <color indexed="8"/>
      <name val="Calibri"/>
      <family val="2"/>
    </font>
    <font>
      <i/>
      <sz val="11"/>
      <color indexed="8"/>
      <name val="Calibri"/>
      <family val="2"/>
    </font>
    <font>
      <sz val="11"/>
      <color indexed="8"/>
      <name val="Calibri"/>
      <family val="2"/>
    </font>
    <font>
      <b/>
      <sz val="12"/>
      <color indexed="8"/>
      <name val="Calibri"/>
      <family val="2"/>
    </font>
    <font>
      <b/>
      <vertAlign val="superscript"/>
      <sz val="12"/>
      <color indexed="8"/>
      <name val="Calibri"/>
      <family val="2"/>
    </font>
    <font>
      <sz val="10"/>
      <color indexed="8"/>
      <name val="Arial"/>
      <family val="2"/>
    </font>
    <font>
      <sz val="10"/>
      <color indexed="63"/>
      <name val="Arial"/>
      <family val="2"/>
    </font>
    <font>
      <i/>
      <sz val="10"/>
      <color indexed="63"/>
      <name val="Arial"/>
      <family val="2"/>
    </font>
    <font>
      <i/>
      <sz val="11"/>
      <name val="Calibri"/>
      <family val="2"/>
    </font>
    <font>
      <sz val="11"/>
      <name val="Calibri"/>
      <family val="2"/>
    </font>
    <font>
      <b/>
      <sz val="11"/>
      <color theme="1"/>
      <name val="Calibri"/>
      <family val="2"/>
      <scheme val="minor"/>
    </font>
    <font>
      <i/>
      <sz val="11"/>
      <color theme="1"/>
      <name val="Calibri"/>
      <family val="2"/>
      <scheme val="minor"/>
    </font>
    <font>
      <sz val="11"/>
      <color theme="0" tint="-0.34998626667073579"/>
      <name val="Calibri"/>
      <family val="2"/>
      <scheme val="minor"/>
    </font>
    <font>
      <sz val="11"/>
      <name val="Calibri"/>
      <family val="2"/>
      <scheme val="minor"/>
    </font>
    <font>
      <b/>
      <sz val="11"/>
      <name val="Calibri"/>
      <family val="2"/>
      <scheme val="minor"/>
    </font>
    <font>
      <i/>
      <sz val="11"/>
      <name val="Calibri"/>
      <family val="2"/>
      <scheme val="minor"/>
    </font>
    <font>
      <sz val="10"/>
      <color theme="1"/>
      <name val="Arial"/>
      <family val="2"/>
    </font>
    <font>
      <sz val="10"/>
      <color rgb="FF222222"/>
      <name val="Arial"/>
      <family val="2"/>
    </font>
    <font>
      <b/>
      <sz val="10"/>
      <color theme="1"/>
      <name val="Arial"/>
      <family val="2"/>
    </font>
    <font>
      <i/>
      <sz val="11"/>
      <color theme="0" tint="-0.14999847407452621"/>
      <name val="Calibri"/>
      <family val="2"/>
      <scheme val="minor"/>
    </font>
    <font>
      <b/>
      <sz val="14"/>
      <color theme="1"/>
      <name val="Calibri"/>
      <family val="2"/>
      <scheme val="minor"/>
    </font>
    <font>
      <b/>
      <sz val="12"/>
      <color theme="1"/>
      <name val="Calibri"/>
      <family val="2"/>
      <scheme val="minor"/>
    </font>
    <font>
      <sz val="9"/>
      <color theme="1"/>
      <name val="Calibri"/>
      <family val="2"/>
      <scheme val="minor"/>
    </font>
    <font>
      <sz val="11"/>
      <color rgb="FFFF0000"/>
      <name val="Calibri"/>
      <family val="2"/>
    </font>
    <font>
      <sz val="10"/>
      <color indexed="8"/>
      <name val="Calibri"/>
      <family val="2"/>
    </font>
    <font>
      <b/>
      <vertAlign val="superscript"/>
      <sz val="11"/>
      <name val="Calibri"/>
      <family val="2"/>
      <scheme val="minor"/>
    </font>
    <font>
      <b/>
      <vertAlign val="superscript"/>
      <sz val="11"/>
      <color theme="1"/>
      <name val="Calibri"/>
      <family val="2"/>
      <scheme val="minor"/>
    </font>
    <font>
      <i/>
      <sz val="9"/>
      <name val="Calibri"/>
      <family val="2"/>
      <scheme val="minor"/>
    </font>
    <font>
      <b/>
      <vertAlign val="superscript"/>
      <sz val="11"/>
      <color indexed="8"/>
      <name val="Calibri"/>
      <family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indexed="22"/>
        <bgColor indexed="64"/>
      </patternFill>
    </fill>
  </fills>
  <borders count="48">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right style="hair">
        <color indexed="64"/>
      </right>
      <top style="medium">
        <color indexed="64"/>
      </top>
      <bottom/>
      <diagonal/>
    </border>
    <border>
      <left/>
      <right style="hair">
        <color indexed="64"/>
      </right>
      <top/>
      <bottom/>
      <diagonal/>
    </border>
    <border>
      <left style="hair">
        <color indexed="64"/>
      </left>
      <right/>
      <top style="medium">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s>
  <cellStyleXfs count="1">
    <xf numFmtId="0" fontId="0" fillId="0" borderId="0"/>
  </cellStyleXfs>
  <cellXfs count="323">
    <xf numFmtId="0" fontId="0" fillId="0" borderId="0" xfId="0"/>
    <xf numFmtId="0" fontId="3" fillId="2" borderId="0" xfId="0" applyFont="1" applyFill="1" applyBorder="1" applyAlignment="1">
      <alignment horizontal="center"/>
    </xf>
    <xf numFmtId="0" fontId="14" fillId="0" borderId="0" xfId="0" applyFont="1"/>
    <xf numFmtId="0" fontId="0" fillId="0" borderId="0" xfId="0" applyFill="1"/>
    <xf numFmtId="0" fontId="14" fillId="0" borderId="0" xfId="0" applyFont="1" applyBorder="1"/>
    <xf numFmtId="2" fontId="0" fillId="0" borderId="0" xfId="0" applyNumberFormat="1" applyBorder="1"/>
    <xf numFmtId="0" fontId="0" fillId="0" borderId="0" xfId="0" applyFont="1"/>
    <xf numFmtId="2" fontId="0" fillId="0" borderId="0" xfId="0" applyNumberFormat="1" applyFill="1" applyBorder="1"/>
    <xf numFmtId="0" fontId="0" fillId="0" borderId="0" xfId="0" applyFont="1" applyFill="1"/>
    <xf numFmtId="0" fontId="3" fillId="0" borderId="2" xfId="0" applyFont="1" applyFill="1" applyBorder="1" applyAlignment="1">
      <alignment horizontal="center"/>
    </xf>
    <xf numFmtId="0" fontId="3" fillId="0" borderId="3" xfId="0" applyFont="1" applyFill="1" applyBorder="1" applyAlignment="1">
      <alignment horizontal="center"/>
    </xf>
    <xf numFmtId="0" fontId="3" fillId="0" borderId="4" xfId="0" applyFont="1" applyFill="1" applyBorder="1" applyAlignment="1">
      <alignment horizontal="center"/>
    </xf>
    <xf numFmtId="2" fontId="0" fillId="3" borderId="0" xfId="0" applyNumberFormat="1" applyFill="1" applyBorder="1"/>
    <xf numFmtId="2" fontId="0" fillId="3" borderId="7" xfId="0" applyNumberFormat="1" applyFill="1" applyBorder="1"/>
    <xf numFmtId="0" fontId="5" fillId="0" borderId="0" xfId="0" applyFont="1" applyFill="1" applyBorder="1" applyAlignment="1">
      <alignment horizontal="left"/>
    </xf>
    <xf numFmtId="0" fontId="14" fillId="0" borderId="0" xfId="0" applyFont="1" applyFill="1" applyBorder="1"/>
    <xf numFmtId="0" fontId="0" fillId="0" borderId="0" xfId="0" applyFont="1" applyFill="1" applyBorder="1"/>
    <xf numFmtId="0" fontId="0" fillId="2" borderId="0" xfId="0" applyFont="1" applyFill="1" applyBorder="1"/>
    <xf numFmtId="0" fontId="0" fillId="2" borderId="0" xfId="0" applyFill="1" applyBorder="1"/>
    <xf numFmtId="0" fontId="13" fillId="0" borderId="2" xfId="0" applyFont="1" applyBorder="1" applyAlignment="1"/>
    <xf numFmtId="164" fontId="0" fillId="0" borderId="0" xfId="0" applyNumberFormat="1" applyFill="1" applyBorder="1"/>
    <xf numFmtId="164" fontId="0" fillId="3" borderId="0" xfId="0" applyNumberFormat="1" applyFill="1" applyBorder="1"/>
    <xf numFmtId="164" fontId="0" fillId="3" borderId="7" xfId="0" applyNumberFormat="1" applyFill="1" applyBorder="1"/>
    <xf numFmtId="0" fontId="14" fillId="2" borderId="0" xfId="0" applyFont="1" applyFill="1" applyBorder="1"/>
    <xf numFmtId="2" fontId="17" fillId="2" borderId="0" xfId="0" applyNumberFormat="1" applyFont="1" applyFill="1" applyBorder="1" applyAlignment="1">
      <alignment horizontal="center"/>
    </xf>
    <xf numFmtId="0" fontId="19" fillId="0" borderId="0" xfId="0" applyFont="1"/>
    <xf numFmtId="0" fontId="21" fillId="0" borderId="0" xfId="0" applyFont="1"/>
    <xf numFmtId="0" fontId="0" fillId="0" borderId="0" xfId="0" applyBorder="1"/>
    <xf numFmtId="1" fontId="0" fillId="0" borderId="0" xfId="0" applyNumberFormat="1" applyFill="1" applyBorder="1"/>
    <xf numFmtId="1" fontId="15" fillId="0" borderId="0" xfId="0" applyNumberFormat="1" applyFont="1" applyFill="1" applyBorder="1"/>
    <xf numFmtId="0" fontId="22" fillId="0" borderId="0" xfId="0" applyFont="1" applyFill="1" applyBorder="1"/>
    <xf numFmtId="165" fontId="0" fillId="0" borderId="0" xfId="0" applyNumberFormat="1" applyFill="1" applyBorder="1"/>
    <xf numFmtId="165" fontId="0" fillId="3" borderId="0" xfId="0" applyNumberFormat="1" applyFill="1" applyBorder="1"/>
    <xf numFmtId="165" fontId="3" fillId="2" borderId="0" xfId="0" applyNumberFormat="1" applyFont="1" applyFill="1" applyBorder="1" applyAlignment="1">
      <alignment horizontal="center"/>
    </xf>
    <xf numFmtId="0" fontId="0" fillId="0" borderId="0" xfId="0" applyBorder="1"/>
    <xf numFmtId="0" fontId="0" fillId="0" borderId="0" xfId="0" applyFill="1" applyBorder="1"/>
    <xf numFmtId="0" fontId="22" fillId="0" borderId="5" xfId="0" applyFont="1" applyFill="1" applyBorder="1"/>
    <xf numFmtId="0" fontId="23" fillId="0" borderId="0" xfId="0" applyFont="1" applyFill="1"/>
    <xf numFmtId="0" fontId="16" fillId="0" borderId="0" xfId="0" applyFont="1" applyAlignment="1">
      <alignment horizontal="left"/>
    </xf>
    <xf numFmtId="0" fontId="16" fillId="0" borderId="0" xfId="0" applyFont="1"/>
    <xf numFmtId="0" fontId="16" fillId="0" borderId="0" xfId="0" applyFont="1" applyAlignment="1">
      <alignment horizontal="center"/>
    </xf>
    <xf numFmtId="0" fontId="24" fillId="0" borderId="5" xfId="0" applyFont="1" applyBorder="1" applyAlignment="1">
      <alignment vertical="center"/>
    </xf>
    <xf numFmtId="0" fontId="13" fillId="0" borderId="8" xfId="0" applyFont="1" applyFill="1" applyBorder="1"/>
    <xf numFmtId="0" fontId="14" fillId="0" borderId="9" xfId="0" applyFont="1" applyFill="1" applyBorder="1"/>
    <xf numFmtId="0" fontId="13" fillId="4" borderId="8" xfId="0" applyFont="1" applyFill="1" applyBorder="1"/>
    <xf numFmtId="0" fontId="24" fillId="0" borderId="0" xfId="0" applyFont="1" applyBorder="1" applyAlignment="1">
      <alignment vertical="center"/>
    </xf>
    <xf numFmtId="0" fontId="13" fillId="0" borderId="0" xfId="0" applyFont="1" applyFill="1" applyBorder="1"/>
    <xf numFmtId="0" fontId="13" fillId="0" borderId="8" xfId="0" applyFont="1" applyBorder="1" applyAlignment="1"/>
    <xf numFmtId="0" fontId="3" fillId="0" borderId="0" xfId="0" applyFont="1" applyFill="1" applyBorder="1" applyAlignment="1"/>
    <xf numFmtId="0" fontId="13" fillId="4" borderId="0" xfId="0" applyFont="1" applyFill="1" applyBorder="1"/>
    <xf numFmtId="0" fontId="13" fillId="0" borderId="0" xfId="0" applyFont="1" applyFill="1"/>
    <xf numFmtId="0" fontId="0" fillId="0" borderId="0" xfId="0" applyFill="1" applyAlignment="1">
      <alignment wrapText="1"/>
    </xf>
    <xf numFmtId="0" fontId="8" fillId="0" borderId="0" xfId="0" applyFont="1" applyFill="1" applyBorder="1" applyAlignment="1">
      <alignment vertical="top" wrapText="1"/>
    </xf>
    <xf numFmtId="0" fontId="0" fillId="0" borderId="10" xfId="0" applyFill="1" applyBorder="1"/>
    <xf numFmtId="0" fontId="0" fillId="0" borderId="11" xfId="0" applyFill="1" applyBorder="1"/>
    <xf numFmtId="0" fontId="13" fillId="0" borderId="11" xfId="0" applyFont="1" applyFill="1" applyBorder="1"/>
    <xf numFmtId="0" fontId="0" fillId="0" borderId="12" xfId="0" applyFill="1" applyBorder="1"/>
    <xf numFmtId="2" fontId="0" fillId="4" borderId="9" xfId="0" applyNumberFormat="1" applyFill="1" applyBorder="1"/>
    <xf numFmtId="2" fontId="0" fillId="4" borderId="13" xfId="0" applyNumberFormat="1" applyFill="1" applyBorder="1"/>
    <xf numFmtId="2" fontId="0" fillId="4" borderId="0" xfId="0" applyNumberFormat="1" applyFill="1" applyBorder="1"/>
    <xf numFmtId="2" fontId="0" fillId="4" borderId="7" xfId="0" applyNumberFormat="1" applyFill="1" applyBorder="1"/>
    <xf numFmtId="2" fontId="0" fillId="4" borderId="5" xfId="0" applyNumberFormat="1" applyFill="1" applyBorder="1"/>
    <xf numFmtId="2" fontId="0" fillId="4" borderId="6" xfId="0" applyNumberFormat="1" applyFill="1" applyBorder="1"/>
    <xf numFmtId="2" fontId="0" fillId="4" borderId="14" xfId="0" applyNumberFormat="1" applyFill="1" applyBorder="1"/>
    <xf numFmtId="2" fontId="0" fillId="4" borderId="1" xfId="0" applyNumberFormat="1" applyFill="1" applyBorder="1"/>
    <xf numFmtId="2" fontId="0" fillId="4" borderId="15" xfId="0" applyNumberFormat="1" applyFill="1" applyBorder="1"/>
    <xf numFmtId="0" fontId="18" fillId="0" borderId="0" xfId="0" applyFont="1" applyFill="1" applyBorder="1"/>
    <xf numFmtId="1" fontId="13" fillId="2" borderId="0" xfId="0" applyNumberFormat="1" applyFont="1" applyFill="1" applyBorder="1" applyAlignment="1">
      <alignment horizontal="center"/>
    </xf>
    <xf numFmtId="0" fontId="0" fillId="0" borderId="0" xfId="0" applyBorder="1" applyAlignment="1">
      <alignment wrapText="1"/>
    </xf>
    <xf numFmtId="164" fontId="0" fillId="4" borderId="14" xfId="0" applyNumberFormat="1" applyFill="1" applyBorder="1"/>
    <xf numFmtId="164" fontId="0" fillId="4" borderId="9" xfId="0" applyNumberFormat="1" applyFill="1" applyBorder="1"/>
    <xf numFmtId="164" fontId="0" fillId="4" borderId="13" xfId="0" applyNumberFormat="1" applyFill="1" applyBorder="1"/>
    <xf numFmtId="164" fontId="0" fillId="4" borderId="1" xfId="0" applyNumberFormat="1" applyFill="1" applyBorder="1"/>
    <xf numFmtId="164" fontId="0" fillId="4" borderId="0" xfId="0" applyNumberFormat="1" applyFill="1" applyBorder="1"/>
    <xf numFmtId="164" fontId="0" fillId="4" borderId="7" xfId="0" applyNumberFormat="1" applyFill="1" applyBorder="1"/>
    <xf numFmtId="164" fontId="0" fillId="4" borderId="15" xfId="0" applyNumberFormat="1" applyFill="1" applyBorder="1"/>
    <xf numFmtId="164" fontId="0" fillId="4" borderId="5" xfId="0" applyNumberFormat="1" applyFill="1" applyBorder="1"/>
    <xf numFmtId="164" fontId="0" fillId="3" borderId="6" xfId="0" applyNumberFormat="1" applyFill="1" applyBorder="1"/>
    <xf numFmtId="0" fontId="14" fillId="0" borderId="10" xfId="0" applyFont="1" applyFill="1" applyBorder="1"/>
    <xf numFmtId="0" fontId="0" fillId="0" borderId="1" xfId="0" applyBorder="1" applyAlignment="1"/>
    <xf numFmtId="164" fontId="15" fillId="0" borderId="0" xfId="0" applyNumberFormat="1" applyFont="1" applyFill="1" applyBorder="1"/>
    <xf numFmtId="0" fontId="14" fillId="0" borderId="11" xfId="0" applyFont="1" applyFill="1" applyBorder="1"/>
    <xf numFmtId="165" fontId="15" fillId="0" borderId="0" xfId="0" applyNumberFormat="1" applyFont="1" applyFill="1" applyBorder="1"/>
    <xf numFmtId="0" fontId="3" fillId="0" borderId="14" xfId="0" applyFont="1" applyFill="1" applyBorder="1" applyAlignment="1">
      <alignment horizontal="center"/>
    </xf>
    <xf numFmtId="0" fontId="3" fillId="0" borderId="9" xfId="0" applyFont="1" applyFill="1" applyBorder="1" applyAlignment="1">
      <alignment horizontal="center"/>
    </xf>
    <xf numFmtId="0" fontId="3" fillId="0" borderId="13" xfId="0" applyFont="1" applyFill="1" applyBorder="1" applyAlignment="1">
      <alignment horizontal="center"/>
    </xf>
    <xf numFmtId="2" fontId="0" fillId="4" borderId="0" xfId="0" applyNumberFormat="1" applyFont="1" applyFill="1" applyBorder="1"/>
    <xf numFmtId="2" fontId="0" fillId="4" borderId="0" xfId="0" applyNumberFormat="1" applyFill="1" applyBorder="1" applyProtection="1">
      <protection locked="0"/>
    </xf>
    <xf numFmtId="2" fontId="0" fillId="4" borderId="13" xfId="0" applyNumberFormat="1" applyFill="1" applyBorder="1" applyProtection="1">
      <protection locked="0"/>
    </xf>
    <xf numFmtId="2" fontId="0" fillId="3" borderId="0" xfId="0" applyNumberFormat="1" applyFill="1" applyBorder="1" applyProtection="1">
      <protection locked="0"/>
    </xf>
    <xf numFmtId="2" fontId="0" fillId="3" borderId="7" xfId="0" applyNumberFormat="1" applyFill="1" applyBorder="1" applyProtection="1">
      <protection locked="0"/>
    </xf>
    <xf numFmtId="2" fontId="0" fillId="4" borderId="7" xfId="0" applyNumberFormat="1" applyFill="1" applyBorder="1" applyProtection="1">
      <protection locked="0"/>
    </xf>
    <xf numFmtId="2" fontId="0" fillId="4" borderId="14" xfId="0" applyNumberFormat="1" applyFill="1" applyBorder="1" applyProtection="1">
      <protection locked="0"/>
    </xf>
    <xf numFmtId="2" fontId="0" fillId="4" borderId="9" xfId="0" applyNumberFormat="1" applyFill="1" applyBorder="1" applyProtection="1">
      <protection locked="0"/>
    </xf>
    <xf numFmtId="2" fontId="0" fillId="4" borderId="1" xfId="0" applyNumberFormat="1" applyFill="1" applyBorder="1" applyProtection="1">
      <protection locked="0"/>
    </xf>
    <xf numFmtId="2" fontId="0" fillId="4" borderId="15" xfId="0" applyNumberFormat="1" applyFill="1" applyBorder="1" applyProtection="1">
      <protection locked="0"/>
    </xf>
    <xf numFmtId="2" fontId="0" fillId="4" borderId="5" xfId="0" applyNumberFormat="1" applyFill="1" applyBorder="1" applyProtection="1">
      <protection locked="0"/>
    </xf>
    <xf numFmtId="165" fontId="15" fillId="0" borderId="0" xfId="0" applyNumberFormat="1" applyFont="1"/>
    <xf numFmtId="0" fontId="0" fillId="2" borderId="16" xfId="0" applyFill="1" applyBorder="1" applyProtection="1">
      <protection locked="0"/>
    </xf>
    <xf numFmtId="0" fontId="0" fillId="2" borderId="17" xfId="0" applyFill="1" applyBorder="1" applyProtection="1">
      <protection locked="0"/>
    </xf>
    <xf numFmtId="0" fontId="0" fillId="2" borderId="18" xfId="0" applyFill="1" applyBorder="1" applyProtection="1">
      <protection locked="0"/>
    </xf>
    <xf numFmtId="0" fontId="0" fillId="0" borderId="0" xfId="0" applyProtection="1">
      <protection locked="0"/>
    </xf>
    <xf numFmtId="0" fontId="0" fillId="2" borderId="19" xfId="0" applyFill="1" applyBorder="1" applyProtection="1">
      <protection locked="0"/>
    </xf>
    <xf numFmtId="0" fontId="0" fillId="2" borderId="0" xfId="0" applyFill="1" applyBorder="1" applyProtection="1">
      <protection locked="0"/>
    </xf>
    <xf numFmtId="0" fontId="0" fillId="2" borderId="20" xfId="0" applyFill="1" applyBorder="1" applyProtection="1">
      <protection locked="0"/>
    </xf>
    <xf numFmtId="0" fontId="0" fillId="0" borderId="0" xfId="0" applyFill="1" applyProtection="1">
      <protection locked="0"/>
    </xf>
    <xf numFmtId="0" fontId="4" fillId="0" borderId="19" xfId="0" applyFont="1" applyFill="1" applyBorder="1" applyProtection="1">
      <protection locked="0"/>
    </xf>
    <xf numFmtId="2" fontId="0" fillId="0" borderId="1" xfId="0" applyNumberFormat="1" applyFill="1" applyBorder="1" applyProtection="1">
      <protection locked="0"/>
    </xf>
    <xf numFmtId="2" fontId="0" fillId="0" borderId="0" xfId="0" applyNumberFormat="1" applyFill="1" applyBorder="1" applyProtection="1">
      <protection locked="0"/>
    </xf>
    <xf numFmtId="2" fontId="0" fillId="0" borderId="20" xfId="0" applyNumberFormat="1" applyFill="1" applyBorder="1" applyProtection="1">
      <protection locked="0"/>
    </xf>
    <xf numFmtId="2" fontId="0" fillId="3" borderId="20" xfId="0" applyNumberFormat="1" applyFill="1" applyBorder="1" applyProtection="1">
      <protection locked="0"/>
    </xf>
    <xf numFmtId="2" fontId="0" fillId="0" borderId="7" xfId="0" applyNumberFormat="1" applyFill="1" applyBorder="1" applyProtection="1">
      <protection locked="0"/>
    </xf>
    <xf numFmtId="0" fontId="11" fillId="0" borderId="19" xfId="0" applyFont="1" applyFill="1" applyBorder="1" applyAlignment="1" applyProtection="1">
      <protection locked="0"/>
    </xf>
    <xf numFmtId="0" fontId="0" fillId="0" borderId="0" xfId="0" applyFill="1" applyBorder="1" applyProtection="1">
      <protection locked="0"/>
    </xf>
    <xf numFmtId="0" fontId="0" fillId="0" borderId="7" xfId="0" applyFill="1" applyBorder="1" applyProtection="1">
      <protection locked="0"/>
    </xf>
    <xf numFmtId="2" fontId="0" fillId="0" borderId="24" xfId="0" applyNumberFormat="1" applyFill="1" applyBorder="1" applyProtection="1">
      <protection locked="0"/>
    </xf>
    <xf numFmtId="2" fontId="0" fillId="0" borderId="37" xfId="0" applyNumberFormat="1" applyFill="1" applyBorder="1" applyProtection="1">
      <protection locked="0"/>
    </xf>
    <xf numFmtId="0" fontId="2" fillId="2" borderId="5" xfId="0" applyFont="1" applyFill="1" applyBorder="1" applyAlignment="1" applyProtection="1">
      <alignment horizontal="center"/>
      <protection locked="0"/>
    </xf>
    <xf numFmtId="0" fontId="2" fillId="2" borderId="46" xfId="0" applyFont="1" applyFill="1" applyBorder="1" applyAlignment="1" applyProtection="1">
      <alignment horizontal="center"/>
      <protection locked="0"/>
    </xf>
    <xf numFmtId="0" fontId="0" fillId="2" borderId="0" xfId="0" applyFill="1" applyProtection="1">
      <protection locked="0"/>
    </xf>
    <xf numFmtId="0" fontId="0" fillId="4" borderId="16" xfId="0" applyFill="1" applyBorder="1" applyProtection="1">
      <protection locked="0"/>
    </xf>
    <xf numFmtId="0" fontId="0" fillId="4" borderId="17" xfId="0" applyFill="1" applyBorder="1" applyProtection="1">
      <protection locked="0"/>
    </xf>
    <xf numFmtId="0" fontId="0" fillId="4" borderId="18" xfId="0" applyFill="1" applyBorder="1" applyProtection="1">
      <protection locked="0"/>
    </xf>
    <xf numFmtId="0" fontId="13" fillId="2" borderId="19" xfId="0" applyFont="1" applyFill="1" applyBorder="1" applyProtection="1">
      <protection locked="0"/>
    </xf>
    <xf numFmtId="0" fontId="18" fillId="2" borderId="36" xfId="0" applyFont="1" applyFill="1" applyBorder="1" applyProtection="1">
      <protection locked="0"/>
    </xf>
    <xf numFmtId="2" fontId="0" fillId="4" borderId="30" xfId="0" applyNumberFormat="1" applyFill="1" applyBorder="1" applyProtection="1">
      <protection locked="0"/>
    </xf>
    <xf numFmtId="0" fontId="0" fillId="4" borderId="25" xfId="0" applyFill="1" applyBorder="1" applyProtection="1">
      <protection locked="0"/>
    </xf>
    <xf numFmtId="0" fontId="0" fillId="4" borderId="24" xfId="0" applyFill="1" applyBorder="1" applyProtection="1">
      <protection locked="0"/>
    </xf>
    <xf numFmtId="0" fontId="0" fillId="4" borderId="26" xfId="0" applyFill="1" applyBorder="1" applyProtection="1">
      <protection locked="0"/>
    </xf>
    <xf numFmtId="0" fontId="18" fillId="2" borderId="22" xfId="0" applyFont="1" applyFill="1" applyBorder="1" applyProtection="1">
      <protection locked="0"/>
    </xf>
    <xf numFmtId="0" fontId="18" fillId="2" borderId="21" xfId="0" applyFont="1" applyFill="1" applyBorder="1" applyProtection="1">
      <protection locked="0"/>
    </xf>
    <xf numFmtId="0" fontId="13" fillId="2" borderId="0" xfId="0" applyFont="1" applyFill="1" applyBorder="1" applyProtection="1">
      <protection locked="0"/>
    </xf>
    <xf numFmtId="0" fontId="18" fillId="2" borderId="29" xfId="0" applyFont="1" applyFill="1" applyBorder="1" applyProtection="1">
      <protection locked="0"/>
    </xf>
    <xf numFmtId="0" fontId="13" fillId="2" borderId="0" xfId="0" applyFont="1" applyFill="1" applyBorder="1" applyAlignment="1" applyProtection="1">
      <protection locked="0"/>
    </xf>
    <xf numFmtId="0" fontId="18" fillId="2" borderId="19" xfId="0" applyFont="1" applyFill="1" applyBorder="1" applyProtection="1">
      <protection locked="0"/>
    </xf>
    <xf numFmtId="0" fontId="2" fillId="2" borderId="0" xfId="0" applyFont="1" applyFill="1" applyBorder="1" applyProtection="1">
      <protection locked="0"/>
    </xf>
    <xf numFmtId="0" fontId="2" fillId="2" borderId="0" xfId="0" applyFont="1" applyFill="1" applyBorder="1" applyAlignment="1" applyProtection="1">
      <alignment horizontal="center"/>
      <protection locked="0"/>
    </xf>
    <xf numFmtId="49" fontId="2" fillId="2" borderId="0" xfId="0" applyNumberFormat="1" applyFont="1" applyFill="1" applyBorder="1" applyAlignment="1" applyProtection="1">
      <alignment horizontal="center"/>
      <protection locked="0"/>
    </xf>
    <xf numFmtId="0" fontId="2" fillId="2" borderId="20" xfId="0" applyFont="1" applyFill="1" applyBorder="1" applyAlignment="1" applyProtection="1">
      <alignment horizontal="center"/>
      <protection locked="0"/>
    </xf>
    <xf numFmtId="0" fontId="2" fillId="0" borderId="0" xfId="0" applyFont="1" applyFill="1" applyBorder="1" applyAlignment="1" applyProtection="1">
      <alignment horizontal="center"/>
      <protection locked="0"/>
    </xf>
    <xf numFmtId="0" fontId="2" fillId="0" borderId="0" xfId="0" applyFont="1" applyFill="1" applyBorder="1" applyProtection="1">
      <protection locked="0"/>
    </xf>
    <xf numFmtId="49" fontId="2" fillId="0" borderId="0" xfId="0" applyNumberFormat="1" applyFont="1" applyFill="1" applyBorder="1" applyAlignment="1" applyProtection="1">
      <alignment horizontal="center"/>
      <protection locked="0"/>
    </xf>
    <xf numFmtId="2" fontId="0" fillId="2" borderId="0" xfId="0" applyNumberFormat="1" applyFill="1" applyBorder="1" applyAlignment="1" applyProtection="1">
      <alignment horizontal="center"/>
      <protection locked="0"/>
    </xf>
    <xf numFmtId="0" fontId="1" fillId="2" borderId="0"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2" fontId="0" fillId="0" borderId="0" xfId="0" applyNumberFormat="1" applyFill="1" applyBorder="1" applyAlignment="1" applyProtection="1">
      <alignment horizontal="center"/>
      <protection locked="0"/>
    </xf>
    <xf numFmtId="0" fontId="1" fillId="0" borderId="0" xfId="0" applyFont="1" applyFill="1" applyBorder="1" applyAlignment="1" applyProtection="1">
      <alignment horizontal="center"/>
      <protection locked="0"/>
    </xf>
    <xf numFmtId="2" fontId="0" fillId="4" borderId="20" xfId="0" applyNumberFormat="1" applyFill="1" applyBorder="1" applyProtection="1">
      <protection locked="0"/>
    </xf>
    <xf numFmtId="2" fontId="1" fillId="2" borderId="0" xfId="0" applyNumberFormat="1" applyFont="1" applyFill="1" applyBorder="1" applyAlignment="1" applyProtection="1">
      <alignment horizontal="center"/>
      <protection locked="0"/>
    </xf>
    <xf numFmtId="0" fontId="0" fillId="2" borderId="0" xfId="0" applyFill="1" applyBorder="1" applyAlignment="1" applyProtection="1">
      <alignment horizontal="center"/>
      <protection locked="0"/>
    </xf>
    <xf numFmtId="0" fontId="0" fillId="2" borderId="20" xfId="0" applyFill="1" applyBorder="1" applyAlignment="1" applyProtection="1">
      <alignment horizontal="center"/>
      <protection locked="0"/>
    </xf>
    <xf numFmtId="2" fontId="1" fillId="0" borderId="0" xfId="0" applyNumberFormat="1" applyFont="1" applyFill="1" applyBorder="1" applyAlignment="1" applyProtection="1">
      <alignment horizontal="center"/>
      <protection locked="0"/>
    </xf>
    <xf numFmtId="2" fontId="26" fillId="0" borderId="0" xfId="0" applyNumberFormat="1" applyFont="1" applyFill="1" applyBorder="1" applyAlignment="1" applyProtection="1">
      <alignment horizontal="center"/>
      <protection locked="0"/>
    </xf>
    <xf numFmtId="2" fontId="12" fillId="0" borderId="0" xfId="0" applyNumberFormat="1" applyFont="1" applyFill="1" applyBorder="1" applyAlignment="1" applyProtection="1">
      <alignment horizontal="center"/>
      <protection locked="0"/>
    </xf>
    <xf numFmtId="0" fontId="0" fillId="0" borderId="0" xfId="0" applyFill="1" applyBorder="1" applyAlignment="1" applyProtection="1">
      <alignment horizontal="center"/>
      <protection locked="0"/>
    </xf>
    <xf numFmtId="165" fontId="0" fillId="0" borderId="18" xfId="0" applyNumberFormat="1" applyFont="1" applyFill="1" applyBorder="1" applyAlignment="1" applyProtection="1">
      <protection locked="0"/>
    </xf>
    <xf numFmtId="0" fontId="0" fillId="2" borderId="0" xfId="0" quotePrefix="1" applyFill="1" applyBorder="1" applyProtection="1">
      <protection locked="0"/>
    </xf>
    <xf numFmtId="0" fontId="0" fillId="2" borderId="0" xfId="0" applyFont="1" applyFill="1" applyBorder="1" applyAlignment="1" applyProtection="1">
      <alignment horizontal="center"/>
      <protection locked="0"/>
    </xf>
    <xf numFmtId="0" fontId="0" fillId="2" borderId="20" xfId="0" applyFont="1" applyFill="1" applyBorder="1" applyAlignment="1" applyProtection="1">
      <alignment horizontal="center"/>
      <protection locked="0"/>
    </xf>
    <xf numFmtId="0" fontId="0" fillId="0" borderId="0" xfId="0" applyFont="1" applyFill="1" applyBorder="1" applyAlignment="1" applyProtection="1">
      <alignment horizontal="center"/>
      <protection locked="0"/>
    </xf>
    <xf numFmtId="0" fontId="18" fillId="2" borderId="25" xfId="0" applyFont="1" applyFill="1" applyBorder="1" applyProtection="1">
      <protection locked="0"/>
    </xf>
    <xf numFmtId="2" fontId="0" fillId="4" borderId="31" xfId="0" applyNumberFormat="1" applyFill="1" applyBorder="1" applyProtection="1">
      <protection locked="0"/>
    </xf>
    <xf numFmtId="2" fontId="0" fillId="4" borderId="24" xfId="0" applyNumberFormat="1" applyFill="1" applyBorder="1" applyProtection="1">
      <protection locked="0"/>
    </xf>
    <xf numFmtId="2" fontId="0" fillId="4" borderId="37" xfId="0" applyNumberFormat="1" applyFill="1" applyBorder="1" applyProtection="1">
      <protection locked="0"/>
    </xf>
    <xf numFmtId="2" fontId="0" fillId="4" borderId="26" xfId="0" applyNumberFormat="1" applyFill="1" applyBorder="1" applyProtection="1">
      <protection locked="0"/>
    </xf>
    <xf numFmtId="0" fontId="0" fillId="0" borderId="26" xfId="0" applyFont="1" applyFill="1" applyBorder="1" applyAlignment="1" applyProtection="1">
      <protection locked="0"/>
    </xf>
    <xf numFmtId="0" fontId="16" fillId="2" borderId="0" xfId="0" applyFont="1" applyFill="1" applyBorder="1" applyProtection="1">
      <protection locked="0"/>
    </xf>
    <xf numFmtId="2" fontId="0" fillId="2" borderId="0" xfId="0" applyNumberFormat="1" applyFill="1" applyBorder="1" applyProtection="1">
      <protection locked="0"/>
    </xf>
    <xf numFmtId="2" fontId="0" fillId="2" borderId="0" xfId="0" applyNumberFormat="1" applyFont="1" applyFill="1" applyBorder="1" applyAlignment="1" applyProtection="1">
      <alignment horizontal="center"/>
      <protection locked="0"/>
    </xf>
    <xf numFmtId="2" fontId="0" fillId="0" borderId="0" xfId="0" applyNumberFormat="1" applyFont="1" applyFill="1" applyBorder="1" applyAlignment="1" applyProtection="1">
      <alignment horizontal="center"/>
      <protection locked="0"/>
    </xf>
    <xf numFmtId="0" fontId="2" fillId="2" borderId="24" xfId="0" applyFont="1" applyFill="1" applyBorder="1" applyAlignment="1" applyProtection="1">
      <alignment horizontal="center"/>
      <protection locked="0"/>
    </xf>
    <xf numFmtId="0" fontId="14" fillId="2" borderId="29" xfId="0" applyFont="1" applyFill="1" applyBorder="1" applyProtection="1">
      <protection locked="0"/>
    </xf>
    <xf numFmtId="0" fontId="14" fillId="2" borderId="9" xfId="0" applyFont="1" applyFill="1" applyBorder="1" applyProtection="1">
      <protection locked="0"/>
    </xf>
    <xf numFmtId="2" fontId="0" fillId="5" borderId="14" xfId="0" applyNumberFormat="1" applyFill="1" applyBorder="1" applyProtection="1"/>
    <xf numFmtId="2" fontId="0" fillId="5" borderId="9" xfId="0" applyNumberFormat="1" applyFill="1" applyBorder="1" applyProtection="1"/>
    <xf numFmtId="2" fontId="0" fillId="5" borderId="13" xfId="0" applyNumberFormat="1" applyFill="1" applyBorder="1" applyProtection="1"/>
    <xf numFmtId="2" fontId="0" fillId="5" borderId="30" xfId="0" applyNumberFormat="1" applyFill="1" applyBorder="1" applyProtection="1"/>
    <xf numFmtId="0" fontId="14" fillId="2" borderId="19" xfId="0" applyFont="1" applyFill="1" applyBorder="1" applyProtection="1">
      <protection locked="0"/>
    </xf>
    <xf numFmtId="0" fontId="14" fillId="2" borderId="0" xfId="0" applyFont="1" applyFill="1" applyBorder="1" applyProtection="1">
      <protection locked="0"/>
    </xf>
    <xf numFmtId="2" fontId="0" fillId="5" borderId="1" xfId="0" applyNumberFormat="1" applyFill="1" applyBorder="1" applyProtection="1"/>
    <xf numFmtId="2" fontId="0" fillId="5" borderId="0" xfId="0" applyNumberFormat="1" applyFill="1" applyBorder="1" applyProtection="1"/>
    <xf numFmtId="2" fontId="0" fillId="3" borderId="0" xfId="0" applyNumberFormat="1" applyFill="1" applyBorder="1" applyProtection="1"/>
    <xf numFmtId="2" fontId="0" fillId="3" borderId="7" xfId="0" applyNumberFormat="1" applyFill="1" applyBorder="1" applyProtection="1"/>
    <xf numFmtId="2" fontId="0" fillId="3" borderId="20" xfId="0" applyNumberFormat="1" applyFill="1" applyBorder="1" applyProtection="1"/>
    <xf numFmtId="2" fontId="0" fillId="5" borderId="7" xfId="0" applyNumberFormat="1" applyFill="1" applyBorder="1" applyProtection="1"/>
    <xf numFmtId="0" fontId="14" fillId="2" borderId="7" xfId="0" applyFont="1" applyFill="1" applyBorder="1" applyProtection="1">
      <protection locked="0"/>
    </xf>
    <xf numFmtId="2" fontId="0" fillId="5" borderId="20" xfId="0" applyNumberFormat="1" applyFill="1" applyBorder="1" applyProtection="1"/>
    <xf numFmtId="2" fontId="0" fillId="0" borderId="0" xfId="0" applyNumberFormat="1" applyProtection="1">
      <protection locked="0"/>
    </xf>
    <xf numFmtId="0" fontId="14" fillId="2" borderId="25" xfId="0" applyFont="1" applyFill="1" applyBorder="1" applyProtection="1">
      <protection locked="0"/>
    </xf>
    <xf numFmtId="0" fontId="14" fillId="2" borderId="24" xfId="0" applyFont="1" applyFill="1" applyBorder="1" applyProtection="1">
      <protection locked="0"/>
    </xf>
    <xf numFmtId="2" fontId="0" fillId="5" borderId="31" xfId="0" applyNumberFormat="1" applyFill="1" applyBorder="1" applyProtection="1"/>
    <xf numFmtId="2" fontId="0" fillId="5" borderId="24" xfId="0" applyNumberFormat="1" applyFill="1" applyBorder="1" applyProtection="1"/>
    <xf numFmtId="2" fontId="0" fillId="5" borderId="37" xfId="0" applyNumberFormat="1" applyFill="1" applyBorder="1" applyProtection="1"/>
    <xf numFmtId="2" fontId="0" fillId="5" borderId="26" xfId="0" applyNumberFormat="1" applyFill="1" applyBorder="1" applyProtection="1"/>
    <xf numFmtId="0" fontId="30" fillId="2" borderId="32" xfId="0" applyFont="1" applyFill="1" applyBorder="1" applyProtection="1">
      <protection locked="0"/>
    </xf>
    <xf numFmtId="0" fontId="25" fillId="2" borderId="17" xfId="0" applyFont="1" applyFill="1" applyBorder="1" applyProtection="1">
      <protection locked="0"/>
    </xf>
    <xf numFmtId="0" fontId="25" fillId="2" borderId="33" xfId="0" applyFont="1" applyFill="1" applyBorder="1" applyProtection="1">
      <protection locked="0"/>
    </xf>
    <xf numFmtId="0" fontId="25" fillId="2" borderId="17" xfId="0" applyFont="1" applyFill="1" applyBorder="1" applyProtection="1"/>
    <xf numFmtId="0" fontId="25" fillId="2" borderId="33" xfId="0" applyFont="1" applyFill="1" applyBorder="1" applyProtection="1"/>
    <xf numFmtId="0" fontId="25" fillId="2" borderId="18" xfId="0" applyFont="1" applyFill="1" applyBorder="1" applyProtection="1"/>
    <xf numFmtId="0" fontId="25" fillId="2" borderId="0" xfId="0" applyFont="1" applyFill="1" applyBorder="1" applyProtection="1">
      <protection locked="0"/>
    </xf>
    <xf numFmtId="0" fontId="25" fillId="2" borderId="34" xfId="0" applyFont="1" applyFill="1" applyBorder="1" applyProtection="1">
      <protection locked="0"/>
    </xf>
    <xf numFmtId="0" fontId="25" fillId="2" borderId="0" xfId="0" applyFont="1" applyFill="1" applyBorder="1" applyProtection="1"/>
    <xf numFmtId="0" fontId="25" fillId="2" borderId="34" xfId="0" applyFont="1" applyFill="1" applyBorder="1" applyProtection="1"/>
    <xf numFmtId="0" fontId="25" fillId="2" borderId="20" xfId="0" applyFont="1" applyFill="1" applyBorder="1" applyProtection="1"/>
    <xf numFmtId="164" fontId="0" fillId="4" borderId="14" xfId="0" applyNumberFormat="1" applyFill="1" applyBorder="1" applyProtection="1">
      <protection locked="0"/>
    </xf>
    <xf numFmtId="164" fontId="0" fillId="4" borderId="9" xfId="0" applyNumberFormat="1" applyFill="1" applyBorder="1" applyProtection="1">
      <protection locked="0"/>
    </xf>
    <xf numFmtId="164" fontId="0" fillId="4" borderId="13" xfId="0" applyNumberFormat="1" applyFill="1" applyBorder="1" applyProtection="1">
      <protection locked="0"/>
    </xf>
    <xf numFmtId="164" fontId="0" fillId="4" borderId="1" xfId="0" applyNumberFormat="1" applyFill="1" applyBorder="1" applyProtection="1">
      <protection locked="0"/>
    </xf>
    <xf numFmtId="164" fontId="0" fillId="4" borderId="0" xfId="0" applyNumberFormat="1" applyFill="1" applyBorder="1" applyProtection="1">
      <protection locked="0"/>
    </xf>
    <xf numFmtId="164" fontId="0" fillId="3" borderId="0" xfId="0" applyNumberFormat="1" applyFill="1" applyBorder="1" applyProtection="1">
      <protection locked="0"/>
    </xf>
    <xf numFmtId="164" fontId="0" fillId="3" borderId="7" xfId="0" applyNumberFormat="1" applyFill="1" applyBorder="1" applyProtection="1">
      <protection locked="0"/>
    </xf>
    <xf numFmtId="164" fontId="0" fillId="4" borderId="7" xfId="0" applyNumberFormat="1" applyFill="1" applyBorder="1" applyProtection="1">
      <protection locked="0"/>
    </xf>
    <xf numFmtId="164" fontId="0" fillId="4" borderId="31" xfId="0" applyNumberFormat="1" applyFill="1" applyBorder="1" applyProtection="1">
      <protection locked="0"/>
    </xf>
    <xf numFmtId="164" fontId="0" fillId="4" borderId="24" xfId="0" applyNumberFormat="1" applyFill="1" applyBorder="1" applyProtection="1">
      <protection locked="0"/>
    </xf>
    <xf numFmtId="164" fontId="0" fillId="4" borderId="37" xfId="0" applyNumberFormat="1" applyFill="1" applyBorder="1" applyProtection="1">
      <protection locked="0"/>
    </xf>
    <xf numFmtId="0" fontId="25" fillId="2" borderId="35" xfId="0" applyFont="1" applyFill="1" applyBorder="1" applyProtection="1"/>
    <xf numFmtId="0" fontId="17" fillId="2" borderId="21" xfId="0" applyFont="1" applyFill="1" applyBorder="1" applyProtection="1">
      <protection locked="0"/>
    </xf>
    <xf numFmtId="0" fontId="0" fillId="2" borderId="34" xfId="0" applyFill="1" applyBorder="1" applyProtection="1">
      <protection locked="0"/>
    </xf>
    <xf numFmtId="166" fontId="0" fillId="5" borderId="14" xfId="0" applyNumberFormat="1" applyFill="1" applyBorder="1" applyProtection="1"/>
    <xf numFmtId="166" fontId="0" fillId="5" borderId="9" xfId="0" applyNumberFormat="1" applyFill="1" applyBorder="1" applyProtection="1"/>
    <xf numFmtId="166" fontId="0" fillId="5" borderId="13" xfId="0" applyNumberFormat="1" applyFill="1" applyBorder="1" applyProtection="1"/>
    <xf numFmtId="166" fontId="0" fillId="5" borderId="30" xfId="0" applyNumberFormat="1" applyFill="1" applyBorder="1" applyProtection="1"/>
    <xf numFmtId="166" fontId="0" fillId="5" borderId="1" xfId="0" applyNumberFormat="1" applyFill="1" applyBorder="1" applyProtection="1"/>
    <xf numFmtId="166" fontId="0" fillId="5" borderId="0" xfId="0" applyNumberFormat="1" applyFill="1" applyBorder="1" applyProtection="1"/>
    <xf numFmtId="166" fontId="0" fillId="3" borderId="0" xfId="0" applyNumberFormat="1" applyFill="1" applyBorder="1" applyProtection="1"/>
    <xf numFmtId="166" fontId="0" fillId="3" borderId="7" xfId="0" applyNumberFormat="1" applyFill="1" applyBorder="1" applyProtection="1"/>
    <xf numFmtId="166" fontId="0" fillId="3" borderId="20" xfId="0" applyNumberFormat="1" applyFill="1" applyBorder="1" applyProtection="1"/>
    <xf numFmtId="166" fontId="0" fillId="5" borderId="7" xfId="0" applyNumberFormat="1" applyFill="1" applyBorder="1" applyProtection="1"/>
    <xf numFmtId="0" fontId="18" fillId="2" borderId="23" xfId="0" applyFont="1" applyFill="1" applyBorder="1" applyProtection="1">
      <protection locked="0"/>
    </xf>
    <xf numFmtId="166" fontId="0" fillId="5" borderId="31" xfId="0" applyNumberFormat="1" applyFill="1" applyBorder="1" applyProtection="1"/>
    <xf numFmtId="166" fontId="0" fillId="5" borderId="24" xfId="0" applyNumberFormat="1" applyFill="1" applyBorder="1" applyProtection="1"/>
    <xf numFmtId="166" fontId="0" fillId="5" borderId="37" xfId="0" applyNumberFormat="1" applyFill="1" applyBorder="1" applyProtection="1"/>
    <xf numFmtId="0" fontId="0" fillId="2" borderId="25" xfId="0" applyFill="1" applyBorder="1" applyProtection="1">
      <protection locked="0"/>
    </xf>
    <xf numFmtId="0" fontId="0" fillId="2" borderId="24" xfId="0" applyFill="1" applyBorder="1" applyProtection="1">
      <protection locked="0"/>
    </xf>
    <xf numFmtId="0" fontId="0" fillId="2" borderId="26" xfId="0" applyFill="1" applyBorder="1" applyProtection="1">
      <protection locked="0"/>
    </xf>
    <xf numFmtId="2" fontId="16" fillId="0" borderId="1" xfId="0" applyNumberFormat="1" applyFont="1" applyFill="1" applyBorder="1" applyProtection="1">
      <protection locked="0"/>
    </xf>
    <xf numFmtId="2" fontId="16" fillId="0" borderId="0" xfId="0" applyNumberFormat="1" applyFont="1" applyFill="1" applyBorder="1" applyProtection="1">
      <protection locked="0"/>
    </xf>
    <xf numFmtId="2" fontId="16" fillId="3" borderId="0" xfId="0" applyNumberFormat="1" applyFont="1" applyFill="1" applyBorder="1" applyProtection="1">
      <protection locked="0"/>
    </xf>
    <xf numFmtId="2" fontId="16" fillId="3" borderId="7" xfId="0" applyNumberFormat="1" applyFont="1" applyFill="1" applyBorder="1" applyProtection="1">
      <protection locked="0"/>
    </xf>
    <xf numFmtId="2" fontId="16" fillId="0" borderId="7" xfId="0" applyNumberFormat="1" applyFont="1" applyFill="1" applyBorder="1" applyProtection="1">
      <protection locked="0"/>
    </xf>
    <xf numFmtId="0" fontId="4" fillId="0" borderId="25" xfId="0" applyFont="1" applyFill="1" applyBorder="1" applyAlignment="1" applyProtection="1">
      <alignment horizontal="left"/>
      <protection locked="0"/>
    </xf>
    <xf numFmtId="0" fontId="0" fillId="0" borderId="1" xfId="0" applyFill="1" applyBorder="1" applyProtection="1">
      <protection locked="0"/>
    </xf>
    <xf numFmtId="2" fontId="0" fillId="0" borderId="31" xfId="0" applyNumberFormat="1" applyFill="1" applyBorder="1" applyProtection="1">
      <protection locked="0"/>
    </xf>
    <xf numFmtId="0" fontId="19" fillId="0" borderId="0" xfId="0" applyFont="1" applyFill="1"/>
    <xf numFmtId="0" fontId="20" fillId="0" borderId="0" xfId="0" applyFont="1" applyFill="1"/>
    <xf numFmtId="0" fontId="0" fillId="0" borderId="19" xfId="0" applyFill="1" applyBorder="1" applyProtection="1">
      <protection locked="0"/>
    </xf>
    <xf numFmtId="0" fontId="0" fillId="0" borderId="0" xfId="0" applyFill="1" applyBorder="1" applyProtection="1">
      <protection locked="0"/>
    </xf>
    <xf numFmtId="0" fontId="0" fillId="0" borderId="20" xfId="0" applyFill="1" applyBorder="1" applyProtection="1">
      <protection locked="0"/>
    </xf>
    <xf numFmtId="0" fontId="13" fillId="2" borderId="43" xfId="0" applyFont="1" applyFill="1" applyBorder="1" applyProtection="1">
      <protection locked="0"/>
    </xf>
    <xf numFmtId="0" fontId="27" fillId="2" borderId="16" xfId="0" applyFont="1" applyFill="1" applyBorder="1" applyProtection="1">
      <protection locked="0"/>
    </xf>
    <xf numFmtId="0" fontId="2" fillId="2" borderId="1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2" fontId="0" fillId="0" borderId="26" xfId="0" applyNumberFormat="1" applyFill="1" applyBorder="1" applyProtection="1">
      <protection locked="0"/>
    </xf>
    <xf numFmtId="0" fontId="18" fillId="0" borderId="9" xfId="0" applyFont="1" applyFill="1" applyBorder="1"/>
    <xf numFmtId="0" fontId="18" fillId="0" borderId="5" xfId="0" applyFont="1" applyFill="1" applyBorder="1"/>
    <xf numFmtId="164" fontId="0" fillId="4" borderId="6" xfId="0" applyNumberFormat="1" applyFill="1" applyBorder="1"/>
    <xf numFmtId="0" fontId="0" fillId="5" borderId="0" xfId="0" applyFill="1"/>
    <xf numFmtId="0" fontId="18" fillId="0" borderId="11" xfId="0" applyFont="1" applyFill="1" applyBorder="1"/>
    <xf numFmtId="0" fontId="18" fillId="0" borderId="12" xfId="0" applyFont="1" applyFill="1" applyBorder="1"/>
    <xf numFmtId="2" fontId="16" fillId="0" borderId="0" xfId="0" applyNumberFormat="1" applyFont="1" applyFill="1" applyBorder="1"/>
    <xf numFmtId="2" fontId="16" fillId="6" borderId="0" xfId="0" applyNumberFormat="1" applyFont="1" applyFill="1" applyBorder="1"/>
    <xf numFmtId="2" fontId="0" fillId="0" borderId="0" xfId="0" applyNumberFormat="1"/>
    <xf numFmtId="0" fontId="2" fillId="7" borderId="27" xfId="0" applyFont="1" applyFill="1" applyBorder="1"/>
    <xf numFmtId="164" fontId="0" fillId="4" borderId="15" xfId="0" applyNumberFormat="1" applyFill="1" applyBorder="1" applyProtection="1">
      <protection locked="0"/>
    </xf>
    <xf numFmtId="164" fontId="0" fillId="4" borderId="5" xfId="0" applyNumberFormat="1" applyFill="1" applyBorder="1" applyProtection="1">
      <protection locked="0"/>
    </xf>
    <xf numFmtId="164" fontId="0" fillId="4" borderId="6" xfId="0" applyNumberFormat="1" applyFill="1" applyBorder="1" applyProtection="1">
      <protection locked="0"/>
    </xf>
    <xf numFmtId="0" fontId="13" fillId="2" borderId="22" xfId="0" applyFont="1" applyFill="1" applyBorder="1"/>
    <xf numFmtId="0" fontId="1" fillId="0" borderId="0" xfId="0" applyFont="1" applyFill="1" applyBorder="1" applyAlignment="1">
      <alignment horizontal="left"/>
    </xf>
    <xf numFmtId="2" fontId="16" fillId="0" borderId="20" xfId="0" applyNumberFormat="1" applyFont="1" applyFill="1" applyBorder="1" applyProtection="1">
      <protection locked="0"/>
    </xf>
    <xf numFmtId="0" fontId="11" fillId="0" borderId="19" xfId="0" applyFont="1" applyFill="1" applyBorder="1" applyProtection="1">
      <protection locked="0"/>
    </xf>
    <xf numFmtId="0" fontId="11" fillId="0" borderId="19" xfId="0" applyFont="1" applyFill="1" applyBorder="1" applyAlignment="1" applyProtection="1">
      <alignment horizontal="left"/>
      <protection locked="0"/>
    </xf>
    <xf numFmtId="164" fontId="0" fillId="3" borderId="5" xfId="0" applyNumberFormat="1" applyFill="1" applyBorder="1" applyProtection="1">
      <protection locked="0"/>
    </xf>
    <xf numFmtId="166" fontId="0" fillId="5" borderId="20" xfId="0" applyNumberFormat="1" applyFill="1" applyBorder="1" applyProtection="1"/>
    <xf numFmtId="166" fontId="0" fillId="5" borderId="26" xfId="0" applyNumberFormat="1" applyFill="1" applyBorder="1" applyProtection="1"/>
    <xf numFmtId="0" fontId="0" fillId="0" borderId="28" xfId="0" applyFill="1" applyBorder="1" applyProtection="1">
      <protection locked="0"/>
    </xf>
    <xf numFmtId="0" fontId="19" fillId="2" borderId="0" xfId="0" applyFont="1" applyFill="1" applyBorder="1"/>
    <xf numFmtId="0" fontId="19" fillId="2" borderId="0" xfId="0" applyFont="1" applyFill="1"/>
    <xf numFmtId="0" fontId="16" fillId="2" borderId="0" xfId="0" applyFont="1" applyFill="1" applyBorder="1"/>
    <xf numFmtId="2" fontId="16" fillId="2" borderId="0" xfId="0" applyNumberFormat="1" applyFont="1" applyFill="1" applyBorder="1"/>
    <xf numFmtId="0" fontId="8" fillId="2" borderId="0" xfId="0" applyFont="1" applyFill="1" applyBorder="1" applyAlignment="1">
      <alignment horizontal="left" vertical="top" wrapText="1"/>
    </xf>
    <xf numFmtId="0" fontId="19" fillId="2" borderId="0" xfId="0" applyFont="1" applyFill="1" applyAlignment="1">
      <alignment horizontal="left" vertical="top" wrapText="1"/>
    </xf>
    <xf numFmtId="0" fontId="0" fillId="0" borderId="1" xfId="0" applyBorder="1" applyAlignment="1">
      <alignment horizontal="left" wrapText="1"/>
    </xf>
    <xf numFmtId="0" fontId="3" fillId="0" borderId="9" xfId="0" applyFont="1" applyFill="1" applyBorder="1" applyAlignment="1">
      <alignment horizontal="center"/>
    </xf>
    <xf numFmtId="0" fontId="3" fillId="0" borderId="13" xfId="0" applyFont="1" applyFill="1" applyBorder="1" applyAlignment="1">
      <alignment horizontal="center"/>
    </xf>
    <xf numFmtId="0" fontId="3" fillId="0" borderId="14" xfId="0" applyFont="1" applyFill="1" applyBorder="1" applyAlignment="1">
      <alignment horizontal="center"/>
    </xf>
    <xf numFmtId="0" fontId="3" fillId="0" borderId="3" xfId="0" applyFont="1" applyFill="1" applyBorder="1" applyAlignment="1">
      <alignment horizontal="center"/>
    </xf>
    <xf numFmtId="0" fontId="3" fillId="0" borderId="4" xfId="0" applyFont="1" applyFill="1" applyBorder="1" applyAlignment="1">
      <alignment horizontal="center"/>
    </xf>
    <xf numFmtId="0" fontId="0" fillId="5" borderId="0" xfId="0" applyFill="1" applyBorder="1" applyAlignment="1">
      <alignment horizontal="left" vertical="top" wrapText="1"/>
    </xf>
    <xf numFmtId="0" fontId="3" fillId="0" borderId="0" xfId="0" applyFont="1" applyFill="1" applyBorder="1" applyAlignment="1">
      <alignment horizontal="center"/>
    </xf>
    <xf numFmtId="0" fontId="0" fillId="0" borderId="0" xfId="0" applyFill="1" applyBorder="1" applyAlignment="1">
      <alignment horizontal="left" wrapText="1"/>
    </xf>
    <xf numFmtId="0" fontId="0" fillId="0" borderId="0" xfId="0" applyBorder="1" applyProtection="1">
      <protection locked="0"/>
    </xf>
    <xf numFmtId="0" fontId="0" fillId="0" borderId="20" xfId="0" applyBorder="1" applyProtection="1">
      <protection locked="0"/>
    </xf>
    <xf numFmtId="0" fontId="13" fillId="2" borderId="47" xfId="0" applyFont="1" applyFill="1" applyBorder="1" applyAlignment="1">
      <alignment horizontal="center"/>
    </xf>
    <xf numFmtId="0" fontId="13" fillId="2" borderId="44" xfId="0" applyFont="1" applyFill="1" applyBorder="1" applyAlignment="1">
      <alignment horizontal="center"/>
    </xf>
    <xf numFmtId="0" fontId="13" fillId="2" borderId="45" xfId="0" applyFont="1" applyFill="1" applyBorder="1" applyAlignment="1">
      <alignment horizontal="center"/>
    </xf>
    <xf numFmtId="0" fontId="2" fillId="2" borderId="38" xfId="0" applyFont="1" applyFill="1" applyBorder="1" applyAlignment="1" applyProtection="1">
      <alignment horizontal="center"/>
      <protection locked="0"/>
    </xf>
    <xf numFmtId="0" fontId="2" fillId="2" borderId="39" xfId="0" applyFont="1" applyFill="1" applyBorder="1" applyAlignment="1" applyProtection="1">
      <alignment horizontal="center"/>
      <protection locked="0"/>
    </xf>
    <xf numFmtId="0" fontId="2" fillId="2" borderId="40" xfId="0" applyFont="1" applyFill="1" applyBorder="1" applyAlignment="1" applyProtection="1">
      <alignment horizontal="center"/>
      <protection locked="0"/>
    </xf>
    <xf numFmtId="0" fontId="2" fillId="2" borderId="41" xfId="0" applyFont="1" applyFill="1" applyBorder="1" applyAlignment="1" applyProtection="1">
      <alignment horizontal="center"/>
      <protection locked="0"/>
    </xf>
    <xf numFmtId="0" fontId="13" fillId="2" borderId="17" xfId="0" applyFont="1" applyFill="1" applyBorder="1" applyAlignment="1" applyProtection="1">
      <alignment horizontal="center" vertical="center" wrapText="1"/>
      <protection locked="0"/>
    </xf>
    <xf numFmtId="0" fontId="13" fillId="2" borderId="18" xfId="0" applyFont="1" applyFill="1" applyBorder="1" applyAlignment="1" applyProtection="1">
      <alignment horizontal="center" vertical="center" wrapText="1"/>
      <protection locked="0"/>
    </xf>
    <xf numFmtId="0" fontId="13" fillId="2" borderId="24"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0" fillId="0" borderId="0" xfId="0" applyFill="1" applyBorder="1" applyProtection="1">
      <protection locked="0"/>
    </xf>
    <xf numFmtId="0" fontId="0" fillId="0" borderId="20" xfId="0" applyFill="1" applyBorder="1" applyProtection="1">
      <protection locked="0"/>
    </xf>
    <xf numFmtId="0" fontId="0" fillId="0" borderId="24" xfId="0" applyFill="1" applyBorder="1" applyProtection="1">
      <protection locked="0"/>
    </xf>
    <xf numFmtId="0" fontId="0" fillId="0" borderId="26" xfId="0" applyFill="1" applyBorder="1" applyProtection="1">
      <protection locked="0"/>
    </xf>
    <xf numFmtId="0" fontId="13" fillId="2" borderId="19" xfId="0" applyFont="1" applyFill="1" applyBorder="1" applyAlignment="1" applyProtection="1">
      <alignment horizontal="right" textRotation="90"/>
      <protection locked="0"/>
    </xf>
    <xf numFmtId="0" fontId="13" fillId="0" borderId="0" xfId="0" applyFont="1" applyFill="1" applyBorder="1" applyAlignment="1" applyProtection="1">
      <alignment horizontal="center"/>
      <protection locked="0"/>
    </xf>
    <xf numFmtId="0" fontId="13" fillId="2" borderId="20" xfId="0" applyFont="1" applyFill="1" applyBorder="1" applyAlignment="1" applyProtection="1">
      <alignment horizontal="right" vertical="center" textRotation="90"/>
      <protection locked="0"/>
    </xf>
    <xf numFmtId="0" fontId="14" fillId="2" borderId="16" xfId="0" applyFont="1" applyFill="1" applyBorder="1" applyAlignment="1" applyProtection="1">
      <alignment horizontal="left"/>
      <protection locked="0"/>
    </xf>
    <xf numFmtId="0" fontId="14" fillId="2" borderId="17" xfId="0" applyFont="1" applyFill="1" applyBorder="1" applyAlignment="1" applyProtection="1">
      <alignment horizontal="left"/>
      <protection locked="0"/>
    </xf>
    <xf numFmtId="0" fontId="14" fillId="2" borderId="25" xfId="0" applyFont="1" applyFill="1" applyBorder="1" applyAlignment="1" applyProtection="1">
      <alignment horizontal="left"/>
      <protection locked="0"/>
    </xf>
    <xf numFmtId="0" fontId="14" fillId="2" borderId="24" xfId="0" applyFont="1" applyFill="1" applyBorder="1" applyAlignment="1" applyProtection="1">
      <alignment horizontal="left"/>
      <protection locked="0"/>
    </xf>
    <xf numFmtId="0" fontId="13" fillId="2" borderId="32" xfId="0" applyFont="1" applyFill="1" applyBorder="1" applyAlignment="1">
      <alignment horizontal="left"/>
    </xf>
    <xf numFmtId="0" fontId="13" fillId="2" borderId="21" xfId="0" applyFont="1" applyFill="1" applyBorder="1" applyAlignment="1">
      <alignment horizontal="left"/>
    </xf>
    <xf numFmtId="0" fontId="17" fillId="2" borderId="32" xfId="0" applyFont="1" applyFill="1" applyBorder="1" applyAlignment="1" applyProtection="1">
      <alignment horizontal="left"/>
      <protection locked="0"/>
    </xf>
    <xf numFmtId="0" fontId="17" fillId="2" borderId="21" xfId="0" applyFont="1" applyFill="1" applyBorder="1" applyAlignment="1" applyProtection="1">
      <alignment horizontal="left"/>
      <protection locked="0"/>
    </xf>
    <xf numFmtId="0" fontId="13" fillId="2" borderId="16" xfId="0" applyFont="1" applyFill="1" applyBorder="1" applyAlignment="1" applyProtection="1">
      <alignment horizontal="left" wrapText="1"/>
      <protection locked="0"/>
    </xf>
    <xf numFmtId="0" fontId="13" fillId="2" borderId="42" xfId="0" applyFont="1" applyFill="1" applyBorder="1" applyAlignment="1" applyProtection="1">
      <alignment horizontal="left" wrapText="1"/>
      <protection locked="0"/>
    </xf>
    <xf numFmtId="0" fontId="13" fillId="2" borderId="43" xfId="0" applyFont="1" applyFill="1" applyBorder="1" applyAlignment="1" applyProtection="1">
      <alignment horizontal="left" wrapText="1"/>
      <protection locked="0"/>
    </xf>
    <xf numFmtId="0" fontId="13" fillId="2" borderId="6" xfId="0" applyFont="1" applyFill="1" applyBorder="1" applyAlignment="1" applyProtection="1">
      <alignment horizontal="lef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
  <sheetViews>
    <sheetView tabSelected="1" zoomScale="90" zoomScaleNormal="90" workbookViewId="0">
      <selection activeCell="A15" sqref="A15"/>
    </sheetView>
  </sheetViews>
  <sheetFormatPr defaultRowHeight="14.4" x14ac:dyDescent="0.3"/>
  <cols>
    <col min="1" max="1" width="15.77734375" customWidth="1"/>
    <col min="2" max="2" width="18.21875" customWidth="1"/>
    <col min="3" max="4" width="17.21875" customWidth="1"/>
    <col min="5" max="5" width="16.21875" customWidth="1"/>
    <col min="6" max="6" width="16.77734375" customWidth="1"/>
  </cols>
  <sheetData>
    <row r="1" spans="1:10" ht="18" x14ac:dyDescent="0.35">
      <c r="A1" s="37" t="s">
        <v>66</v>
      </c>
      <c r="C1" s="38"/>
      <c r="D1" s="38"/>
      <c r="E1" s="39"/>
      <c r="F1" s="39"/>
      <c r="G1" s="40"/>
      <c r="H1" s="39"/>
      <c r="I1" s="39"/>
      <c r="J1" s="39"/>
    </row>
    <row r="2" spans="1:10" ht="19.95" customHeight="1" x14ac:dyDescent="0.3">
      <c r="A2" s="280" t="s">
        <v>114</v>
      </c>
      <c r="B2" s="280"/>
      <c r="C2" s="280"/>
      <c r="D2" s="280"/>
      <c r="E2" s="280"/>
      <c r="F2" s="280"/>
    </row>
    <row r="3" spans="1:10" ht="37.049999999999997" customHeight="1" x14ac:dyDescent="0.3">
      <c r="A3" s="280" t="s">
        <v>119</v>
      </c>
      <c r="B3" s="280"/>
      <c r="C3" s="280"/>
      <c r="D3" s="280"/>
      <c r="E3" s="280"/>
      <c r="F3" s="280"/>
    </row>
    <row r="4" spans="1:10" ht="32.549999999999997" customHeight="1" x14ac:dyDescent="0.3">
      <c r="A4" s="280" t="s">
        <v>115</v>
      </c>
      <c r="B4" s="280"/>
      <c r="C4" s="280"/>
      <c r="D4" s="280"/>
      <c r="E4" s="280"/>
      <c r="F4" s="280"/>
    </row>
    <row r="5" spans="1:10" ht="23.25" customHeight="1" x14ac:dyDescent="0.3">
      <c r="A5" s="281" t="s">
        <v>116</v>
      </c>
      <c r="B5" s="281"/>
      <c r="C5" s="281"/>
      <c r="D5" s="281"/>
      <c r="E5" s="281"/>
      <c r="F5" s="281"/>
    </row>
    <row r="6" spans="1:10" ht="24" customHeight="1" x14ac:dyDescent="0.3">
      <c r="A6" s="281" t="s">
        <v>117</v>
      </c>
      <c r="B6" s="281"/>
      <c r="C6" s="281"/>
      <c r="D6" s="281"/>
      <c r="E6" s="281"/>
      <c r="F6" s="281"/>
    </row>
    <row r="7" spans="1:10" x14ac:dyDescent="0.3">
      <c r="A7" s="276" t="s">
        <v>118</v>
      </c>
      <c r="B7" s="277"/>
      <c r="C7" s="277"/>
      <c r="D7" s="277"/>
      <c r="E7" s="277"/>
      <c r="F7" s="277"/>
    </row>
    <row r="8" spans="1:10" x14ac:dyDescent="0.3">
      <c r="A8" s="25"/>
      <c r="B8" s="25"/>
      <c r="C8" s="25"/>
      <c r="D8" s="25"/>
      <c r="E8" s="25"/>
      <c r="F8" s="25"/>
    </row>
    <row r="9" spans="1:10" x14ac:dyDescent="0.3">
      <c r="A9" s="26" t="s">
        <v>7</v>
      </c>
      <c r="B9" s="25"/>
      <c r="C9" s="25"/>
      <c r="D9" s="25"/>
      <c r="E9" s="25"/>
      <c r="F9" s="25"/>
    </row>
    <row r="10" spans="1:10" s="3" customFormat="1" x14ac:dyDescent="0.3">
      <c r="A10" s="244" t="s">
        <v>46</v>
      </c>
      <c r="B10" s="244"/>
      <c r="C10" s="244"/>
      <c r="D10" s="244"/>
      <c r="E10" s="244"/>
      <c r="F10" s="244"/>
    </row>
    <row r="11" spans="1:10" s="3" customFormat="1" x14ac:dyDescent="0.3">
      <c r="A11" s="244" t="s">
        <v>47</v>
      </c>
      <c r="B11" s="244"/>
      <c r="C11" s="244"/>
      <c r="D11" s="244"/>
      <c r="E11" s="244"/>
      <c r="F11" s="244"/>
    </row>
    <row r="12" spans="1:10" s="3" customFormat="1" x14ac:dyDescent="0.3">
      <c r="A12" s="245" t="s">
        <v>9</v>
      </c>
      <c r="B12" s="244"/>
      <c r="C12" s="244"/>
      <c r="D12" s="244"/>
      <c r="E12" s="244"/>
      <c r="F12" s="244"/>
    </row>
    <row r="13" spans="1:10" s="3" customFormat="1" x14ac:dyDescent="0.3">
      <c r="A13" s="245" t="s">
        <v>10</v>
      </c>
      <c r="B13" s="244"/>
      <c r="C13" s="244"/>
      <c r="D13" s="244"/>
      <c r="E13" s="244"/>
      <c r="F13" s="244"/>
    </row>
    <row r="14" spans="1:10" s="3" customFormat="1" x14ac:dyDescent="0.3">
      <c r="A14" s="245" t="s">
        <v>126</v>
      </c>
      <c r="B14" s="244"/>
      <c r="C14" s="244"/>
      <c r="D14" s="244"/>
      <c r="E14" s="244"/>
      <c r="F14" s="244"/>
    </row>
    <row r="15" spans="1:10" s="3" customFormat="1" x14ac:dyDescent="0.3">
      <c r="A15" s="245" t="s">
        <v>125</v>
      </c>
      <c r="B15" s="244"/>
      <c r="C15" s="244"/>
      <c r="D15" s="244"/>
      <c r="E15" s="244"/>
      <c r="F15" s="244"/>
    </row>
    <row r="16" spans="1:10" s="3" customFormat="1" x14ac:dyDescent="0.3">
      <c r="A16" s="245" t="s">
        <v>48</v>
      </c>
      <c r="B16" s="244"/>
      <c r="C16" s="244"/>
      <c r="D16" s="244"/>
      <c r="E16" s="244"/>
      <c r="F16" s="244"/>
    </row>
    <row r="17" spans="1:6" s="3" customFormat="1" x14ac:dyDescent="0.3">
      <c r="A17" s="245" t="s">
        <v>8</v>
      </c>
      <c r="B17" s="244"/>
      <c r="C17" s="244"/>
      <c r="D17" s="244"/>
      <c r="E17" s="244"/>
      <c r="F17" s="244"/>
    </row>
    <row r="18" spans="1:6" s="3" customFormat="1" x14ac:dyDescent="0.3">
      <c r="A18" s="245" t="s">
        <v>11</v>
      </c>
      <c r="B18" s="244"/>
      <c r="C18" s="244"/>
      <c r="D18" s="244"/>
      <c r="E18" s="244"/>
      <c r="F18" s="244"/>
    </row>
    <row r="19" spans="1:6" s="3" customFormat="1" x14ac:dyDescent="0.3">
      <c r="A19" s="245" t="s">
        <v>49</v>
      </c>
      <c r="B19" s="244"/>
      <c r="C19" s="244"/>
      <c r="D19" s="244"/>
      <c r="E19" s="244"/>
      <c r="F19" s="244"/>
    </row>
    <row r="20" spans="1:6" s="3" customFormat="1" x14ac:dyDescent="0.3">
      <c r="A20" s="245" t="s">
        <v>12</v>
      </c>
      <c r="B20" s="244"/>
      <c r="C20" s="244"/>
      <c r="D20" s="244"/>
      <c r="E20" s="244"/>
      <c r="F20" s="244"/>
    </row>
  </sheetData>
  <mergeCells count="5">
    <mergeCell ref="A4:F4"/>
    <mergeCell ref="A2:F2"/>
    <mergeCell ref="A3:F3"/>
    <mergeCell ref="A6:F6"/>
    <mergeCell ref="A5:F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1"/>
  <sheetViews>
    <sheetView zoomScale="85" zoomScaleNormal="85" workbookViewId="0">
      <selection activeCell="J22" sqref="J22"/>
    </sheetView>
  </sheetViews>
  <sheetFormatPr defaultRowHeight="14.4" x14ac:dyDescent="0.3"/>
  <cols>
    <col min="1" max="1" width="27.21875" customWidth="1"/>
    <col min="2" max="2" width="45.44140625" customWidth="1"/>
    <col min="12" max="12" width="40" customWidth="1"/>
    <col min="13" max="13" width="27" style="6" customWidth="1"/>
    <col min="14" max="22" width="8.77734375" customWidth="1"/>
    <col min="23" max="23" width="11" customWidth="1"/>
    <col min="24" max="24" width="10.5546875" customWidth="1"/>
  </cols>
  <sheetData>
    <row r="1" spans="1:25" ht="18" x14ac:dyDescent="0.35">
      <c r="A1" s="37" t="s">
        <v>69</v>
      </c>
      <c r="C1" s="38"/>
      <c r="D1" s="38"/>
      <c r="E1" s="39"/>
      <c r="F1" s="39"/>
      <c r="G1" s="40"/>
      <c r="H1" s="39"/>
      <c r="I1" s="39"/>
      <c r="J1" s="39"/>
      <c r="M1"/>
      <c r="N1" s="51"/>
      <c r="O1" s="51"/>
      <c r="P1" s="51"/>
      <c r="Q1" s="51"/>
      <c r="R1" s="51"/>
      <c r="S1" s="51"/>
    </row>
    <row r="2" spans="1:25" ht="17.399999999999999" x14ac:dyDescent="0.3">
      <c r="A2" s="45" t="s">
        <v>70</v>
      </c>
      <c r="B2" s="45"/>
      <c r="C2" s="285" t="s">
        <v>2</v>
      </c>
      <c r="D2" s="283"/>
      <c r="E2" s="283"/>
      <c r="F2" s="284"/>
      <c r="G2" s="283" t="s">
        <v>3</v>
      </c>
      <c r="H2" s="283"/>
      <c r="I2" s="283"/>
      <c r="J2" s="283"/>
      <c r="K2" s="284"/>
      <c r="L2" s="3" t="s">
        <v>5</v>
      </c>
      <c r="M2" s="8"/>
      <c r="N2" s="51"/>
      <c r="O2" s="51"/>
      <c r="P2" s="51"/>
      <c r="Q2" s="51"/>
      <c r="R2" s="51"/>
      <c r="S2" s="51"/>
    </row>
    <row r="3" spans="1:25" ht="14.55" customHeight="1" x14ac:dyDescent="0.3">
      <c r="A3" s="19" t="s">
        <v>4</v>
      </c>
      <c r="B3" s="47" t="s">
        <v>6</v>
      </c>
      <c r="C3" s="9" t="s">
        <v>51</v>
      </c>
      <c r="D3" s="10" t="s">
        <v>52</v>
      </c>
      <c r="E3" s="10" t="s">
        <v>53</v>
      </c>
      <c r="F3" s="11" t="s">
        <v>54</v>
      </c>
      <c r="G3" s="10" t="s">
        <v>51</v>
      </c>
      <c r="H3" s="10" t="s">
        <v>52</v>
      </c>
      <c r="I3" s="10" t="s">
        <v>53</v>
      </c>
      <c r="J3" s="10" t="s">
        <v>54</v>
      </c>
      <c r="K3" s="11" t="s">
        <v>55</v>
      </c>
      <c r="L3" s="3" t="s">
        <v>57</v>
      </c>
      <c r="N3" s="51"/>
      <c r="O3" s="51"/>
      <c r="P3" s="51"/>
      <c r="Q3" s="51"/>
      <c r="R3" s="51"/>
      <c r="S3" s="51"/>
      <c r="T3" s="52"/>
      <c r="U3" s="52"/>
      <c r="V3" s="52"/>
      <c r="W3" s="52"/>
      <c r="X3" s="52"/>
      <c r="Y3" s="52"/>
    </row>
    <row r="4" spans="1:25" ht="14.55" customHeight="1" x14ac:dyDescent="0.3">
      <c r="A4" s="49" t="s">
        <v>13</v>
      </c>
      <c r="B4" s="35"/>
      <c r="C4" s="48"/>
      <c r="D4" s="48"/>
      <c r="E4" s="48"/>
      <c r="F4" s="48"/>
      <c r="G4" s="48"/>
      <c r="H4" s="48"/>
      <c r="I4" s="48"/>
      <c r="J4" s="48"/>
      <c r="K4" s="48"/>
      <c r="M4" s="16"/>
      <c r="N4" s="51"/>
      <c r="O4" s="51"/>
      <c r="P4" s="51"/>
      <c r="Q4" s="51"/>
      <c r="R4" s="51"/>
      <c r="S4" s="51"/>
      <c r="T4" s="52"/>
      <c r="U4" s="52"/>
      <c r="V4" s="52"/>
      <c r="W4" s="52"/>
      <c r="X4" s="52"/>
      <c r="Y4" s="52"/>
    </row>
    <row r="5" spans="1:25" ht="14.55" customHeight="1" x14ac:dyDescent="0.3">
      <c r="A5" s="18" t="s">
        <v>19</v>
      </c>
      <c r="B5" s="17" t="s">
        <v>20</v>
      </c>
      <c r="C5" s="24" t="s">
        <v>17</v>
      </c>
      <c r="D5" s="24" t="s">
        <v>0</v>
      </c>
      <c r="E5" s="24" t="s">
        <v>16</v>
      </c>
      <c r="F5" s="24"/>
      <c r="G5" s="24" t="s">
        <v>0</v>
      </c>
      <c r="H5" s="24" t="s">
        <v>1</v>
      </c>
      <c r="I5" s="24" t="s">
        <v>18</v>
      </c>
      <c r="J5" s="24" t="s">
        <v>18</v>
      </c>
      <c r="K5" s="24" t="s">
        <v>18</v>
      </c>
      <c r="L5" s="14" t="s">
        <v>58</v>
      </c>
      <c r="M5" s="16"/>
      <c r="N5" s="51"/>
      <c r="O5" s="51"/>
      <c r="P5" s="51"/>
      <c r="Q5" s="51"/>
      <c r="R5" s="51"/>
      <c r="S5" s="51"/>
      <c r="T5" s="52"/>
      <c r="U5" s="52"/>
      <c r="V5" s="52"/>
      <c r="W5" s="52"/>
      <c r="X5" s="52"/>
      <c r="Y5" s="52"/>
    </row>
    <row r="6" spans="1:25" ht="14.55" customHeight="1" x14ac:dyDescent="0.3">
      <c r="A6" s="16"/>
      <c r="B6" s="15" t="s">
        <v>14</v>
      </c>
      <c r="C6" s="31">
        <f>(AVERAGE(9926,8066))/60/12</f>
        <v>12.494444444444445</v>
      </c>
      <c r="D6" s="31">
        <f>(AVERAGE(9694,7714))/60/12</f>
        <v>12.088888888888889</v>
      </c>
      <c r="E6" s="31">
        <f>(AVERAGE(7535,6010))/60/12</f>
        <v>9.40625</v>
      </c>
      <c r="F6" s="31"/>
      <c r="G6" s="31">
        <f>(AVERAGE(8096,6308))/60/12</f>
        <v>10.002777777777778</v>
      </c>
      <c r="H6" s="31">
        <f>(AVERAGE(6304,4927))/60/12</f>
        <v>7.7993055555555557</v>
      </c>
      <c r="I6" s="31">
        <f>(AVERAGE(4513,3545))/60/12</f>
        <v>5.5958333333333341</v>
      </c>
      <c r="J6" s="82">
        <f>(AVERAGE(4513,3545))/60/12</f>
        <v>5.5958333333333341</v>
      </c>
      <c r="K6" s="82">
        <f>(AVERAGE(4513,3545))/60/12</f>
        <v>5.5958333333333341</v>
      </c>
      <c r="L6" t="s">
        <v>59</v>
      </c>
      <c r="M6" s="16"/>
      <c r="N6" s="51"/>
      <c r="O6" s="51"/>
      <c r="P6" s="51"/>
      <c r="Q6" s="51"/>
      <c r="R6" s="51"/>
      <c r="S6" s="51"/>
    </row>
    <row r="7" spans="1:25" ht="14.55" customHeight="1" x14ac:dyDescent="0.3">
      <c r="B7" s="2" t="s">
        <v>15</v>
      </c>
      <c r="C7" s="31">
        <f>28058/60/12</f>
        <v>38.969444444444441</v>
      </c>
      <c r="D7" s="31">
        <f>25485/60/12</f>
        <v>35.395833333333336</v>
      </c>
      <c r="E7" s="31">
        <f>22341/60/12</f>
        <v>31.029166666666669</v>
      </c>
      <c r="F7" s="31"/>
      <c r="G7" s="31">
        <f>21412/60/12</f>
        <v>29.738888888888891</v>
      </c>
      <c r="H7" s="31">
        <f>18771/60/12</f>
        <v>26.070833333333336</v>
      </c>
      <c r="I7" s="31">
        <f>16129/60/12</f>
        <v>22.401388888888889</v>
      </c>
      <c r="J7" s="82">
        <f>16130/60/12</f>
        <v>22.402777777777775</v>
      </c>
      <c r="K7" s="31"/>
      <c r="L7" t="s">
        <v>59</v>
      </c>
      <c r="M7" s="16"/>
      <c r="N7" s="51"/>
      <c r="O7" s="51"/>
      <c r="P7" s="51"/>
      <c r="Q7" s="51"/>
      <c r="R7" s="51"/>
      <c r="S7" s="51"/>
    </row>
    <row r="8" spans="1:25" ht="14.55" customHeight="1" x14ac:dyDescent="0.3">
      <c r="A8" s="35"/>
      <c r="B8" s="15"/>
      <c r="C8" s="28"/>
      <c r="D8" s="28"/>
      <c r="E8" s="28"/>
      <c r="F8" s="28"/>
      <c r="G8" s="28"/>
      <c r="H8" s="28"/>
      <c r="I8" s="28"/>
      <c r="J8" s="29"/>
      <c r="K8" s="7"/>
      <c r="M8" s="16"/>
      <c r="N8" s="51"/>
      <c r="O8" s="51"/>
      <c r="P8" s="51"/>
      <c r="Q8" s="51"/>
      <c r="R8" s="51"/>
      <c r="S8" s="51"/>
    </row>
    <row r="9" spans="1:25" x14ac:dyDescent="0.3">
      <c r="A9" s="18" t="s">
        <v>21</v>
      </c>
      <c r="B9" s="23"/>
      <c r="C9" s="1" t="s">
        <v>51</v>
      </c>
      <c r="D9" s="1" t="s">
        <v>52</v>
      </c>
      <c r="E9" s="1" t="s">
        <v>53</v>
      </c>
      <c r="F9" s="1" t="s">
        <v>54</v>
      </c>
      <c r="G9" s="1" t="s">
        <v>51</v>
      </c>
      <c r="H9" s="1" t="s">
        <v>52</v>
      </c>
      <c r="I9" s="1" t="s">
        <v>53</v>
      </c>
      <c r="J9" s="1" t="s">
        <v>54</v>
      </c>
      <c r="K9" s="1" t="s">
        <v>55</v>
      </c>
      <c r="M9" s="16"/>
      <c r="N9" s="51"/>
      <c r="O9" s="51"/>
      <c r="P9" s="51"/>
      <c r="Q9" s="51"/>
      <c r="R9" s="51"/>
      <c r="S9" s="51"/>
    </row>
    <row r="10" spans="1:25" x14ac:dyDescent="0.3">
      <c r="A10" s="35"/>
      <c r="B10" s="15" t="s">
        <v>14</v>
      </c>
      <c r="C10" s="31">
        <f>1*((1088.84-(17.12*15))-56)/60</f>
        <v>12.933999999999999</v>
      </c>
      <c r="D10" s="31">
        <f>1*((1088.84-(17.12*25))-56)/60</f>
        <v>10.080666666666666</v>
      </c>
      <c r="E10" s="31">
        <f>1*((1088.84-(17.12*35))-56)/60</f>
        <v>7.2273333333333314</v>
      </c>
      <c r="F10" s="31">
        <f>1*((1088.84-(17.12*45))-56)/60</f>
        <v>4.373999999999997</v>
      </c>
      <c r="G10" s="31">
        <f>0.8*((1088.84-(17.12*15))-56)/60</f>
        <v>10.347199999999999</v>
      </c>
      <c r="H10" s="31">
        <f>0.8*((1088.84-(17.12*25))-56)/60</f>
        <v>8.0645333333333333</v>
      </c>
      <c r="I10" s="31">
        <f>0.8*((1088.84-(17.12*35))-56)/60</f>
        <v>5.7818666666666649</v>
      </c>
      <c r="J10" s="31">
        <f>0.8*((1088.84-(17.12*45))-56)/60</f>
        <v>3.4991999999999979</v>
      </c>
      <c r="K10" s="31">
        <f>0.8*((1088.84-(17.12*55))-56)/60</f>
        <v>1.2165333333333319</v>
      </c>
      <c r="L10" t="s">
        <v>26</v>
      </c>
      <c r="M10" s="16"/>
      <c r="N10" s="51"/>
      <c r="O10" s="51"/>
      <c r="P10" s="51"/>
      <c r="Q10" s="51"/>
      <c r="R10" s="51"/>
      <c r="S10" s="51"/>
    </row>
    <row r="11" spans="1:25" x14ac:dyDescent="0.3">
      <c r="A11" s="35"/>
      <c r="B11" s="66" t="s">
        <v>22</v>
      </c>
      <c r="C11" s="31">
        <f>1*((1088.84-(17.12*15))-260)/60</f>
        <v>9.5339999999999989</v>
      </c>
      <c r="D11" s="31">
        <f>1*((1088.84-(17.12*25))-260)/60</f>
        <v>6.6806666666666654</v>
      </c>
      <c r="E11" s="32"/>
      <c r="F11" s="32"/>
      <c r="G11" s="31">
        <f>0.8*((1088.84-(17.12*15))-260)/60</f>
        <v>7.6272000000000002</v>
      </c>
      <c r="H11" s="31">
        <f>0.8*((1088.84-(17.12*25))-260)/60</f>
        <v>5.3445333333333327</v>
      </c>
      <c r="I11" s="32"/>
      <c r="J11" s="32"/>
      <c r="K11" s="32"/>
      <c r="L11" t="s">
        <v>27</v>
      </c>
      <c r="M11" s="16"/>
      <c r="N11" s="51"/>
      <c r="O11" s="51"/>
      <c r="P11" s="51"/>
      <c r="Q11" s="51"/>
      <c r="R11" s="51"/>
      <c r="S11" s="51"/>
    </row>
    <row r="12" spans="1:25" x14ac:dyDescent="0.3">
      <c r="A12" s="35"/>
      <c r="B12" s="66" t="s">
        <v>23</v>
      </c>
      <c r="C12" s="31">
        <f>1*((1088.84-(17.12*15))-142)/60</f>
        <v>11.500666666666666</v>
      </c>
      <c r="D12" s="31">
        <f>1*((1088.84-(17.12*25))-142)/60</f>
        <v>8.6473333333333322</v>
      </c>
      <c r="E12" s="31">
        <f>1*((1088.84-(17.12*35))-142)/60</f>
        <v>5.7939999999999978</v>
      </c>
      <c r="F12" s="31">
        <f>1*((1088.84-(17.12*45))-142)/60</f>
        <v>2.9406666666666639</v>
      </c>
      <c r="G12" s="31">
        <f>0.8*((1088.84-(17.12*15))-142)/60</f>
        <v>9.2005333333333343</v>
      </c>
      <c r="H12" s="31">
        <f>0.8*((1088.84-(17.12*25))-142)/60</f>
        <v>6.9178666666666659</v>
      </c>
      <c r="I12" s="31">
        <f>0.8*((1088.84-(17.12*35))-142)/60</f>
        <v>4.6351999999999984</v>
      </c>
      <c r="J12" s="31">
        <f>0.8*((1088.84-(17.12*45))-142)/60</f>
        <v>2.3525333333333314</v>
      </c>
      <c r="K12" s="32"/>
      <c r="L12" t="s">
        <v>28</v>
      </c>
      <c r="M12" s="16"/>
      <c r="N12" s="51"/>
      <c r="O12" s="51"/>
      <c r="P12" s="51"/>
      <c r="Q12" s="51"/>
      <c r="R12" s="51"/>
      <c r="S12" s="51"/>
    </row>
    <row r="13" spans="1:25" x14ac:dyDescent="0.3">
      <c r="A13" s="35"/>
      <c r="B13" s="66" t="s">
        <v>24</v>
      </c>
      <c r="C13" s="31">
        <f>1*((1088.84-(17.12*15))-264)/60</f>
        <v>9.4673333333333325</v>
      </c>
      <c r="D13" s="31">
        <f>1*((1088.84-(17.12*25))-264)/60</f>
        <v>6.613999999999999</v>
      </c>
      <c r="E13" s="31">
        <f>1*((1088.84-(17.12*35))-264)/60</f>
        <v>3.7606666666666646</v>
      </c>
      <c r="F13" s="82">
        <v>2</v>
      </c>
      <c r="G13" s="31">
        <f>0.8*((1088.84-(17.12*15))-264)/60</f>
        <v>7.5738666666666665</v>
      </c>
      <c r="H13" s="31">
        <f>0.8*((1088.84-(17.12*25))-264)/60</f>
        <v>5.2911999999999999</v>
      </c>
      <c r="I13" s="31">
        <f>0.8*((1088.84-(17.12*35))-264)/60</f>
        <v>3.0085333333333319</v>
      </c>
      <c r="J13" s="82">
        <v>2</v>
      </c>
      <c r="K13" s="32"/>
      <c r="L13" t="s">
        <v>29</v>
      </c>
      <c r="M13" s="16" t="s">
        <v>106</v>
      </c>
      <c r="N13" s="51"/>
      <c r="O13" s="51"/>
      <c r="P13" s="51"/>
      <c r="Q13" s="51"/>
      <c r="R13" s="51"/>
      <c r="S13" s="51"/>
    </row>
    <row r="14" spans="1:25" x14ac:dyDescent="0.3">
      <c r="A14" s="35"/>
      <c r="B14" s="66" t="s">
        <v>15</v>
      </c>
      <c r="C14" s="31">
        <f>1*((3329-(33*15)))/60</f>
        <v>47.233333333333334</v>
      </c>
      <c r="D14" s="31">
        <f>1*((3329-(33*25)))/60</f>
        <v>41.733333333333334</v>
      </c>
      <c r="E14" s="31">
        <f>1*((3329-(33*35)))/60</f>
        <v>36.233333333333334</v>
      </c>
      <c r="F14" s="31">
        <f>1*((3329-(33*45)))/60</f>
        <v>30.733333333333334</v>
      </c>
      <c r="G14" s="31">
        <f>0.85*((3329-(33*15)))/60</f>
        <v>40.148333333333333</v>
      </c>
      <c r="H14" s="31">
        <f>0.85*((3329-(33*25)))/60</f>
        <v>35.473333333333336</v>
      </c>
      <c r="I14" s="31">
        <f>0.85*((3329-(33*35)))/60</f>
        <v>30.798333333333332</v>
      </c>
      <c r="J14" s="31">
        <f>0.85*((3329-(33*45)))/60</f>
        <v>26.123333333333331</v>
      </c>
      <c r="K14" s="31">
        <f>0.85*((3329-(33*55)))/60</f>
        <v>21.448333333333331</v>
      </c>
      <c r="L14" t="s">
        <v>30</v>
      </c>
      <c r="M14" s="16"/>
      <c r="N14" s="51"/>
      <c r="O14" s="51"/>
      <c r="P14" s="51"/>
      <c r="Q14" s="51"/>
      <c r="R14" s="51"/>
      <c r="S14" s="51"/>
    </row>
    <row r="15" spans="1:25" x14ac:dyDescent="0.3">
      <c r="A15" s="35"/>
      <c r="B15" s="15" t="s">
        <v>25</v>
      </c>
      <c r="C15" s="31">
        <f>1*((3329-(33*15))-1196)/60</f>
        <v>27.3</v>
      </c>
      <c r="D15" s="31">
        <f>1*((3329-(33*25))-1196)/60</f>
        <v>21.8</v>
      </c>
      <c r="E15" s="31">
        <f>1*((3329-(33*35))-1196)/60</f>
        <v>16.3</v>
      </c>
      <c r="F15" s="32"/>
      <c r="G15" s="31">
        <f>0.85*((3329-(33*15))-1196)/60</f>
        <v>23.204999999999998</v>
      </c>
      <c r="H15" s="31">
        <f>0.85*((3329-(33*25))-1196)/60</f>
        <v>18.529999999999998</v>
      </c>
      <c r="I15" s="31">
        <f>0.85*((3329-(33*35))-1196)/60</f>
        <v>13.854999999999999</v>
      </c>
      <c r="J15" s="32"/>
      <c r="K15" s="32"/>
      <c r="L15" t="s">
        <v>31</v>
      </c>
      <c r="M15" s="16"/>
      <c r="N15" s="51"/>
      <c r="O15" s="51"/>
      <c r="P15" s="51"/>
      <c r="Q15" s="51"/>
      <c r="R15" s="51"/>
      <c r="S15" s="51"/>
    </row>
    <row r="16" spans="1:25" x14ac:dyDescent="0.3">
      <c r="A16" s="35"/>
      <c r="B16" s="15" t="s">
        <v>71</v>
      </c>
      <c r="C16" s="31">
        <f>1*((3329-(33*15))-1714)/60</f>
        <v>18.666666666666668</v>
      </c>
      <c r="D16" s="31">
        <f>1*((3329-(33*25))-1714)/60</f>
        <v>13.166666666666666</v>
      </c>
      <c r="E16" s="31">
        <f>1*((3329-(33*35))-1714)/60</f>
        <v>7.666666666666667</v>
      </c>
      <c r="F16" s="32"/>
      <c r="G16" s="31">
        <f>0.85*((3329-(33*15))-1714)/60</f>
        <v>15.866666666666667</v>
      </c>
      <c r="H16" s="31">
        <f>0.85*((3329-(33*25))-1714)/60</f>
        <v>11.191666666666666</v>
      </c>
      <c r="I16" s="31">
        <f>0.85*((3329-(33*35))-1714)/60</f>
        <v>6.5166666666666666</v>
      </c>
      <c r="J16" s="32"/>
      <c r="K16" s="32"/>
      <c r="L16" t="s">
        <v>32</v>
      </c>
      <c r="M16" s="16"/>
    </row>
    <row r="17" spans="1:22" x14ac:dyDescent="0.3">
      <c r="A17" s="35"/>
      <c r="B17" s="15"/>
      <c r="C17" s="31"/>
      <c r="D17" s="31"/>
      <c r="E17" s="31"/>
      <c r="F17" s="31"/>
      <c r="G17" s="31"/>
      <c r="H17" s="31"/>
      <c r="I17" s="31"/>
      <c r="J17" s="31"/>
      <c r="K17" s="31"/>
      <c r="M17" s="16"/>
    </row>
    <row r="18" spans="1:22" x14ac:dyDescent="0.3">
      <c r="A18" s="18" t="s">
        <v>33</v>
      </c>
      <c r="B18" s="17" t="s">
        <v>35</v>
      </c>
      <c r="C18" s="33"/>
      <c r="D18" s="1" t="s">
        <v>52</v>
      </c>
      <c r="E18" s="1" t="s">
        <v>53</v>
      </c>
      <c r="F18" s="33"/>
      <c r="G18" s="33"/>
      <c r="H18" s="33"/>
      <c r="I18" s="1" t="s">
        <v>53</v>
      </c>
      <c r="J18" s="1" t="s">
        <v>54</v>
      </c>
      <c r="K18" s="1" t="s">
        <v>55</v>
      </c>
      <c r="L18" t="s">
        <v>39</v>
      </c>
      <c r="M18" s="16"/>
    </row>
    <row r="19" spans="1:22" x14ac:dyDescent="0.3">
      <c r="A19" s="46"/>
      <c r="B19" s="66" t="s">
        <v>22</v>
      </c>
      <c r="C19" s="31">
        <v>7.5</v>
      </c>
      <c r="D19" s="31">
        <v>7.5</v>
      </c>
      <c r="E19" s="32"/>
      <c r="F19" s="32"/>
      <c r="G19" s="82">
        <v>7.5</v>
      </c>
      <c r="H19" s="82">
        <v>7.5</v>
      </c>
      <c r="I19" s="32"/>
      <c r="J19" s="32"/>
      <c r="K19" s="32"/>
      <c r="L19" t="s">
        <v>41</v>
      </c>
      <c r="M19" s="16"/>
    </row>
    <row r="20" spans="1:22" x14ac:dyDescent="0.3">
      <c r="A20" s="35"/>
      <c r="B20" s="66" t="s">
        <v>24</v>
      </c>
      <c r="C20" s="31"/>
      <c r="D20" s="31">
        <v>7.5</v>
      </c>
      <c r="E20" s="31">
        <v>7.5</v>
      </c>
      <c r="F20" s="82">
        <v>7.5</v>
      </c>
      <c r="G20" s="31"/>
      <c r="H20" s="82">
        <v>7.5</v>
      </c>
      <c r="I20" s="82">
        <v>7.5</v>
      </c>
      <c r="J20" s="82">
        <v>7.5</v>
      </c>
      <c r="K20" s="32"/>
      <c r="L20" t="s">
        <v>41</v>
      </c>
      <c r="M20" s="16"/>
    </row>
    <row r="21" spans="1:22" x14ac:dyDescent="0.3">
      <c r="A21" s="35"/>
      <c r="B21" s="66" t="s">
        <v>23</v>
      </c>
      <c r="C21" s="31"/>
      <c r="D21" s="31">
        <v>8</v>
      </c>
      <c r="E21" s="31">
        <v>8</v>
      </c>
      <c r="F21" s="82">
        <v>8</v>
      </c>
      <c r="G21" s="82"/>
      <c r="H21" s="82">
        <v>8</v>
      </c>
      <c r="I21" s="82">
        <v>8</v>
      </c>
      <c r="J21" s="82">
        <v>8</v>
      </c>
      <c r="K21" s="32"/>
      <c r="L21" t="s">
        <v>41</v>
      </c>
      <c r="M21" s="16"/>
    </row>
    <row r="22" spans="1:22" x14ac:dyDescent="0.3">
      <c r="A22" s="35"/>
      <c r="B22" s="66" t="s">
        <v>14</v>
      </c>
      <c r="C22" s="31">
        <v>9</v>
      </c>
      <c r="D22" s="31">
        <v>9</v>
      </c>
      <c r="E22" s="31">
        <v>9</v>
      </c>
      <c r="F22" s="31">
        <v>9</v>
      </c>
      <c r="G22" s="82">
        <v>9</v>
      </c>
      <c r="H22" s="82">
        <v>9</v>
      </c>
      <c r="I22" s="82">
        <v>9</v>
      </c>
      <c r="J22" s="82">
        <v>9</v>
      </c>
      <c r="K22" s="82"/>
      <c r="L22" t="s">
        <v>41</v>
      </c>
      <c r="M22" s="16"/>
    </row>
    <row r="23" spans="1:22" x14ac:dyDescent="0.3">
      <c r="A23" s="35"/>
      <c r="B23" s="66" t="s">
        <v>36</v>
      </c>
      <c r="C23" s="97">
        <v>17</v>
      </c>
      <c r="D23" s="82">
        <v>15</v>
      </c>
      <c r="E23" s="82">
        <v>13</v>
      </c>
      <c r="F23" s="82">
        <v>11</v>
      </c>
      <c r="G23" s="82">
        <v>17</v>
      </c>
      <c r="H23" s="31">
        <v>15</v>
      </c>
      <c r="I23" s="31">
        <v>13</v>
      </c>
      <c r="J23" s="31">
        <v>11</v>
      </c>
      <c r="K23" s="31">
        <v>10</v>
      </c>
      <c r="L23" t="s">
        <v>40</v>
      </c>
      <c r="M23" s="16" t="s">
        <v>63</v>
      </c>
    </row>
    <row r="24" spans="1:22" x14ac:dyDescent="0.3">
      <c r="A24" s="35"/>
      <c r="B24" s="66" t="s">
        <v>37</v>
      </c>
      <c r="C24" s="82">
        <v>19</v>
      </c>
      <c r="D24" s="82">
        <v>17</v>
      </c>
      <c r="E24" s="82">
        <v>15</v>
      </c>
      <c r="F24" s="82">
        <v>12</v>
      </c>
      <c r="G24" s="82">
        <v>19</v>
      </c>
      <c r="H24" s="82">
        <v>17</v>
      </c>
      <c r="I24" s="31">
        <v>15</v>
      </c>
      <c r="J24" s="31">
        <v>12</v>
      </c>
      <c r="K24" s="31">
        <v>10</v>
      </c>
      <c r="L24" t="s">
        <v>42</v>
      </c>
      <c r="M24" s="16" t="s">
        <v>63</v>
      </c>
    </row>
    <row r="25" spans="1:22" x14ac:dyDescent="0.3">
      <c r="A25" s="35"/>
      <c r="B25" s="66" t="s">
        <v>15</v>
      </c>
      <c r="C25" s="31">
        <v>32</v>
      </c>
      <c r="D25" s="31">
        <v>28</v>
      </c>
      <c r="E25" s="31">
        <v>25</v>
      </c>
      <c r="F25" s="31">
        <v>20</v>
      </c>
      <c r="G25" s="82">
        <v>32</v>
      </c>
      <c r="H25" s="82">
        <v>28</v>
      </c>
      <c r="I25" s="82">
        <v>25</v>
      </c>
      <c r="J25" s="82">
        <v>20</v>
      </c>
      <c r="K25" s="82">
        <v>15</v>
      </c>
      <c r="L25" t="s">
        <v>45</v>
      </c>
    </row>
    <row r="26" spans="1:22" x14ac:dyDescent="0.3">
      <c r="A26" s="35"/>
      <c r="B26" s="66" t="s">
        <v>25</v>
      </c>
      <c r="C26" s="31">
        <v>30</v>
      </c>
      <c r="D26" s="31">
        <v>24</v>
      </c>
      <c r="E26" s="31">
        <v>22</v>
      </c>
      <c r="F26" s="32"/>
      <c r="G26" s="82">
        <v>30</v>
      </c>
      <c r="H26" s="82">
        <v>24</v>
      </c>
      <c r="I26" s="82">
        <v>22</v>
      </c>
      <c r="J26" s="32"/>
      <c r="K26" s="32"/>
      <c r="L26" t="s">
        <v>44</v>
      </c>
    </row>
    <row r="27" spans="1:22" x14ac:dyDescent="0.3">
      <c r="A27" s="35"/>
      <c r="B27" s="66" t="s">
        <v>38</v>
      </c>
      <c r="C27" s="82">
        <v>20</v>
      </c>
      <c r="D27" s="82">
        <v>18</v>
      </c>
      <c r="E27" s="82">
        <v>16</v>
      </c>
      <c r="F27" s="82">
        <v>12</v>
      </c>
      <c r="G27" s="82">
        <v>20</v>
      </c>
      <c r="H27" s="82">
        <v>18</v>
      </c>
      <c r="I27" s="31">
        <v>16</v>
      </c>
      <c r="J27" s="31">
        <v>12</v>
      </c>
      <c r="K27" s="31">
        <v>10</v>
      </c>
      <c r="L27" t="s">
        <v>43</v>
      </c>
      <c r="M27" s="16" t="s">
        <v>63</v>
      </c>
    </row>
    <row r="28" spans="1:22" x14ac:dyDescent="0.3">
      <c r="A28" s="3"/>
      <c r="B28" s="3"/>
      <c r="C28" s="3"/>
      <c r="D28" s="3"/>
      <c r="E28" s="3"/>
      <c r="F28" s="3"/>
      <c r="G28" s="3"/>
      <c r="H28" s="3"/>
      <c r="I28" s="3"/>
      <c r="J28" s="3"/>
      <c r="K28" s="3"/>
    </row>
    <row r="29" spans="1:22" x14ac:dyDescent="0.3">
      <c r="A29" s="3"/>
      <c r="B29" s="3"/>
      <c r="C29" s="285" t="s">
        <v>2</v>
      </c>
      <c r="D29" s="283"/>
      <c r="E29" s="283"/>
      <c r="F29" s="284"/>
      <c r="G29" s="286" t="s">
        <v>3</v>
      </c>
      <c r="H29" s="286"/>
      <c r="I29" s="286"/>
      <c r="J29" s="286"/>
      <c r="K29" s="287"/>
      <c r="N29" t="s">
        <v>64</v>
      </c>
    </row>
    <row r="30" spans="1:22" x14ac:dyDescent="0.3">
      <c r="A30" s="42" t="s">
        <v>50</v>
      </c>
      <c r="B30" s="50" t="s">
        <v>56</v>
      </c>
      <c r="C30" s="9" t="s">
        <v>51</v>
      </c>
      <c r="D30" s="10" t="s">
        <v>52</v>
      </c>
      <c r="E30" s="10" t="s">
        <v>53</v>
      </c>
      <c r="F30" s="11" t="s">
        <v>54</v>
      </c>
      <c r="G30" s="10" t="s">
        <v>51</v>
      </c>
      <c r="H30" s="10" t="s">
        <v>52</v>
      </c>
      <c r="I30" s="10" t="s">
        <v>53</v>
      </c>
      <c r="J30" s="10" t="s">
        <v>54</v>
      </c>
      <c r="K30" s="11" t="s">
        <v>55</v>
      </c>
      <c r="N30" s="9" t="s">
        <v>51</v>
      </c>
      <c r="O30" s="10" t="s">
        <v>52</v>
      </c>
      <c r="P30" s="10" t="s">
        <v>53</v>
      </c>
      <c r="Q30" s="11" t="s">
        <v>54</v>
      </c>
      <c r="R30" s="10" t="s">
        <v>51</v>
      </c>
      <c r="S30" s="10" t="s">
        <v>52</v>
      </c>
      <c r="T30" s="10" t="s">
        <v>53</v>
      </c>
      <c r="U30" s="10" t="s">
        <v>54</v>
      </c>
      <c r="V30" s="11" t="s">
        <v>55</v>
      </c>
    </row>
    <row r="31" spans="1:22" x14ac:dyDescent="0.3">
      <c r="A31" s="53" t="s">
        <v>80</v>
      </c>
      <c r="B31" s="43" t="s">
        <v>14</v>
      </c>
      <c r="C31" s="63">
        <f>AVERAGE(C6,C10,C22)</f>
        <v>11.476148148148148</v>
      </c>
      <c r="D31" s="57">
        <f t="shared" ref="D31:J31" si="0">AVERAGE(D6,D10,D22)</f>
        <v>10.389851851851851</v>
      </c>
      <c r="E31" s="57">
        <f t="shared" si="0"/>
        <v>8.5445277777777768</v>
      </c>
      <c r="F31" s="57">
        <f t="shared" si="0"/>
        <v>6.6869999999999985</v>
      </c>
      <c r="G31" s="57">
        <f t="shared" si="0"/>
        <v>9.7833259259259258</v>
      </c>
      <c r="H31" s="57">
        <f t="shared" si="0"/>
        <v>8.2879462962962958</v>
      </c>
      <c r="I31" s="57">
        <f t="shared" si="0"/>
        <v>6.7925666666666658</v>
      </c>
      <c r="J31" s="57">
        <f t="shared" si="0"/>
        <v>6.0316777777777775</v>
      </c>
      <c r="K31" s="58">
        <f>AVERAGE(K6,K10,K22)</f>
        <v>3.4061833333333329</v>
      </c>
      <c r="N31" s="86">
        <f t="shared" ref="N31:N40" si="1">C31*60</f>
        <v>688.56888888888886</v>
      </c>
      <c r="O31" s="86">
        <f t="shared" ref="O31:O40" si="2">D31*60</f>
        <v>623.39111111111106</v>
      </c>
      <c r="P31" s="86">
        <f t="shared" ref="P31:P40" si="3">E31*60</f>
        <v>512.67166666666662</v>
      </c>
      <c r="Q31" s="86">
        <f t="shared" ref="Q31:Q40" si="4">F31*60</f>
        <v>401.21999999999991</v>
      </c>
      <c r="R31" s="86">
        <f t="shared" ref="R31:R40" si="5">G31*60</f>
        <v>586.9995555555555</v>
      </c>
      <c r="S31" s="86">
        <f t="shared" ref="S31:S40" si="6">H31*60</f>
        <v>497.27677777777774</v>
      </c>
      <c r="T31" s="86">
        <f t="shared" ref="T31:T40" si="7">I31*60</f>
        <v>407.55399999999997</v>
      </c>
      <c r="U31" s="86">
        <f t="shared" ref="U31:U40" si="8">J31*60</f>
        <v>361.90066666666667</v>
      </c>
      <c r="V31" s="86">
        <f t="shared" ref="V31:V40" si="9">K31*60</f>
        <v>204.37099999999998</v>
      </c>
    </row>
    <row r="32" spans="1:22" x14ac:dyDescent="0.3">
      <c r="A32" s="54"/>
      <c r="B32" s="66" t="s">
        <v>22</v>
      </c>
      <c r="C32" s="64">
        <f>AVERAGE(C11,C19)</f>
        <v>8.5169999999999995</v>
      </c>
      <c r="D32" s="59">
        <f>AVERAGE(D11,D19)</f>
        <v>7.0903333333333327</v>
      </c>
      <c r="E32" s="12"/>
      <c r="F32" s="12"/>
      <c r="G32" s="59">
        <f>AVERAGE(G11,G19)</f>
        <v>7.5636000000000001</v>
      </c>
      <c r="H32" s="59">
        <f>AVERAGE(H11,H19)</f>
        <v>6.4222666666666663</v>
      </c>
      <c r="I32" s="12"/>
      <c r="J32" s="12"/>
      <c r="K32" s="13"/>
      <c r="L32" s="282"/>
      <c r="N32" s="86">
        <f t="shared" si="1"/>
        <v>511.02</v>
      </c>
      <c r="O32" s="86">
        <f t="shared" si="2"/>
        <v>425.41999999999996</v>
      </c>
      <c r="P32" s="86">
        <f t="shared" si="3"/>
        <v>0</v>
      </c>
      <c r="Q32" s="86">
        <f t="shared" si="4"/>
        <v>0</v>
      </c>
      <c r="R32" s="86">
        <f t="shared" si="5"/>
        <v>453.81600000000003</v>
      </c>
      <c r="S32" s="86">
        <f t="shared" si="6"/>
        <v>385.33599999999996</v>
      </c>
      <c r="T32" s="86">
        <f t="shared" si="7"/>
        <v>0</v>
      </c>
      <c r="U32" s="86">
        <f t="shared" si="8"/>
        <v>0</v>
      </c>
      <c r="V32" s="86">
        <f t="shared" si="9"/>
        <v>0</v>
      </c>
    </row>
    <row r="33" spans="1:22" x14ac:dyDescent="0.3">
      <c r="A33" s="54"/>
      <c r="B33" s="66" t="s">
        <v>23</v>
      </c>
      <c r="C33" s="64">
        <f>AVERAGE(C12,C21)</f>
        <v>11.500666666666666</v>
      </c>
      <c r="D33" s="59">
        <f t="shared" ref="D33:J33" si="10">AVERAGE(D12,D21)</f>
        <v>8.3236666666666661</v>
      </c>
      <c r="E33" s="59">
        <f t="shared" si="10"/>
        <v>6.8969999999999985</v>
      </c>
      <c r="F33" s="59">
        <f t="shared" si="10"/>
        <v>5.4703333333333317</v>
      </c>
      <c r="G33" s="59">
        <f t="shared" si="10"/>
        <v>9.2005333333333343</v>
      </c>
      <c r="H33" s="59">
        <f t="shared" si="10"/>
        <v>7.4589333333333325</v>
      </c>
      <c r="I33" s="59">
        <f t="shared" si="10"/>
        <v>6.3175999999999988</v>
      </c>
      <c r="J33" s="59">
        <f t="shared" si="10"/>
        <v>5.1762666666666659</v>
      </c>
      <c r="K33" s="13"/>
      <c r="L33" s="282"/>
      <c r="N33" s="86">
        <f t="shared" si="1"/>
        <v>690.04</v>
      </c>
      <c r="O33" s="86">
        <f t="shared" si="2"/>
        <v>499.41999999999996</v>
      </c>
      <c r="P33" s="86">
        <f t="shared" si="3"/>
        <v>413.81999999999994</v>
      </c>
      <c r="Q33" s="86">
        <f t="shared" si="4"/>
        <v>328.21999999999991</v>
      </c>
      <c r="R33" s="86">
        <f t="shared" si="5"/>
        <v>552.03200000000004</v>
      </c>
      <c r="S33" s="86">
        <f t="shared" si="6"/>
        <v>447.53599999999994</v>
      </c>
      <c r="T33" s="86">
        <f t="shared" si="7"/>
        <v>379.05599999999993</v>
      </c>
      <c r="U33" s="86">
        <f t="shared" si="8"/>
        <v>310.57599999999996</v>
      </c>
      <c r="V33" s="86">
        <f t="shared" si="9"/>
        <v>0</v>
      </c>
    </row>
    <row r="34" spans="1:22" x14ac:dyDescent="0.3">
      <c r="A34" s="54"/>
      <c r="B34" s="66" t="s">
        <v>24</v>
      </c>
      <c r="C34" s="64">
        <f>AVERAGE(C13,C20)</f>
        <v>9.4673333333333325</v>
      </c>
      <c r="D34" s="59">
        <f t="shared" ref="D34:J34" si="11">AVERAGE(D13,D20)</f>
        <v>7.0569999999999995</v>
      </c>
      <c r="E34" s="59">
        <f t="shared" si="11"/>
        <v>5.6303333333333327</v>
      </c>
      <c r="F34" s="59">
        <f t="shared" si="11"/>
        <v>4.75</v>
      </c>
      <c r="G34" s="59">
        <f t="shared" si="11"/>
        <v>7.5738666666666665</v>
      </c>
      <c r="H34" s="59">
        <f t="shared" si="11"/>
        <v>6.3956</v>
      </c>
      <c r="I34" s="59">
        <f t="shared" si="11"/>
        <v>5.2542666666666662</v>
      </c>
      <c r="J34" s="59">
        <f t="shared" si="11"/>
        <v>4.75</v>
      </c>
      <c r="K34" s="13"/>
      <c r="L34" s="282"/>
      <c r="N34" s="86">
        <f t="shared" si="1"/>
        <v>568.04</v>
      </c>
      <c r="O34" s="86">
        <f t="shared" si="2"/>
        <v>423.41999999999996</v>
      </c>
      <c r="P34" s="86">
        <f t="shared" si="3"/>
        <v>337.81999999999994</v>
      </c>
      <c r="Q34" s="86">
        <f t="shared" si="4"/>
        <v>285</v>
      </c>
      <c r="R34" s="86">
        <f t="shared" si="5"/>
        <v>454.43200000000002</v>
      </c>
      <c r="S34" s="86">
        <f t="shared" si="6"/>
        <v>383.73599999999999</v>
      </c>
      <c r="T34" s="86">
        <f t="shared" si="7"/>
        <v>315.25599999999997</v>
      </c>
      <c r="U34" s="86">
        <f t="shared" si="8"/>
        <v>285</v>
      </c>
      <c r="V34" s="86">
        <f t="shared" si="9"/>
        <v>0</v>
      </c>
    </row>
    <row r="35" spans="1:22" x14ac:dyDescent="0.3">
      <c r="A35" s="53" t="s">
        <v>81</v>
      </c>
      <c r="B35" s="254" t="s">
        <v>15</v>
      </c>
      <c r="C35" s="63">
        <f>AVERAGE(C7,C14,C25)</f>
        <v>39.400925925925925</v>
      </c>
      <c r="D35" s="57">
        <f t="shared" ref="D35:K35" si="12">AVERAGE(D7,D14,D25)</f>
        <v>35.043055555555554</v>
      </c>
      <c r="E35" s="57">
        <f t="shared" si="12"/>
        <v>30.754166666666666</v>
      </c>
      <c r="F35" s="57">
        <f t="shared" si="12"/>
        <v>25.366666666666667</v>
      </c>
      <c r="G35" s="57">
        <f t="shared" si="12"/>
        <v>33.962407407407404</v>
      </c>
      <c r="H35" s="57">
        <f t="shared" si="12"/>
        <v>29.848055555555558</v>
      </c>
      <c r="I35" s="57">
        <f t="shared" si="12"/>
        <v>26.066574074074072</v>
      </c>
      <c r="J35" s="57">
        <f t="shared" si="12"/>
        <v>22.842037037037034</v>
      </c>
      <c r="K35" s="58">
        <f t="shared" si="12"/>
        <v>18.224166666666665</v>
      </c>
      <c r="N35" s="86">
        <f t="shared" si="1"/>
        <v>2364.0555555555557</v>
      </c>
      <c r="O35" s="86">
        <f t="shared" si="2"/>
        <v>2102.583333333333</v>
      </c>
      <c r="P35" s="86">
        <f t="shared" si="3"/>
        <v>1845.25</v>
      </c>
      <c r="Q35" s="86">
        <f t="shared" si="4"/>
        <v>1522</v>
      </c>
      <c r="R35" s="86">
        <f t="shared" si="5"/>
        <v>2037.7444444444443</v>
      </c>
      <c r="S35" s="86">
        <f t="shared" si="6"/>
        <v>1790.8833333333334</v>
      </c>
      <c r="T35" s="86">
        <f t="shared" si="7"/>
        <v>1563.9944444444443</v>
      </c>
      <c r="U35" s="86">
        <f t="shared" si="8"/>
        <v>1370.5222222222221</v>
      </c>
      <c r="V35" s="86">
        <f t="shared" si="9"/>
        <v>1093.4499999999998</v>
      </c>
    </row>
    <row r="36" spans="1:22" x14ac:dyDescent="0.3">
      <c r="A36" s="55"/>
      <c r="B36" s="66" t="s">
        <v>25</v>
      </c>
      <c r="C36" s="64">
        <f>AVERAGE(C15,C26)</f>
        <v>28.65</v>
      </c>
      <c r="D36" s="59">
        <f t="shared" ref="D36:I36" si="13">AVERAGE(D15,D26)</f>
        <v>22.9</v>
      </c>
      <c r="E36" s="59">
        <f t="shared" si="13"/>
        <v>19.149999999999999</v>
      </c>
      <c r="F36" s="12"/>
      <c r="G36" s="59">
        <f t="shared" si="13"/>
        <v>26.602499999999999</v>
      </c>
      <c r="H36" s="59">
        <f t="shared" si="13"/>
        <v>21.265000000000001</v>
      </c>
      <c r="I36" s="59">
        <f t="shared" si="13"/>
        <v>17.927499999999998</v>
      </c>
      <c r="J36" s="12"/>
      <c r="K36" s="13"/>
      <c r="N36" s="86">
        <f t="shared" si="1"/>
        <v>1719</v>
      </c>
      <c r="O36" s="86">
        <f t="shared" si="2"/>
        <v>1374</v>
      </c>
      <c r="P36" s="86">
        <f t="shared" si="3"/>
        <v>1149</v>
      </c>
      <c r="Q36" s="86">
        <f t="shared" si="4"/>
        <v>0</v>
      </c>
      <c r="R36" s="86">
        <f t="shared" si="5"/>
        <v>1596.1499999999999</v>
      </c>
      <c r="S36" s="86">
        <f t="shared" si="6"/>
        <v>1275.9000000000001</v>
      </c>
      <c r="T36" s="86">
        <f t="shared" si="7"/>
        <v>1075.6499999999999</v>
      </c>
      <c r="U36" s="86">
        <f t="shared" si="8"/>
        <v>0</v>
      </c>
      <c r="V36" s="86">
        <f t="shared" si="9"/>
        <v>0</v>
      </c>
    </row>
    <row r="37" spans="1:22" x14ac:dyDescent="0.3">
      <c r="A37" s="55"/>
      <c r="B37" s="66" t="s">
        <v>71</v>
      </c>
      <c r="C37" s="64">
        <f>C16</f>
        <v>18.666666666666668</v>
      </c>
      <c r="D37" s="59">
        <f t="shared" ref="D37:I37" si="14">D16</f>
        <v>13.166666666666666</v>
      </c>
      <c r="E37" s="59">
        <f t="shared" si="14"/>
        <v>7.666666666666667</v>
      </c>
      <c r="F37" s="12"/>
      <c r="G37" s="59">
        <f t="shared" si="14"/>
        <v>15.866666666666667</v>
      </c>
      <c r="H37" s="59">
        <f t="shared" si="14"/>
        <v>11.191666666666666</v>
      </c>
      <c r="I37" s="59">
        <f t="shared" si="14"/>
        <v>6.5166666666666666</v>
      </c>
      <c r="J37" s="12"/>
      <c r="K37" s="13"/>
      <c r="N37" s="86">
        <f t="shared" si="1"/>
        <v>1120</v>
      </c>
      <c r="O37" s="86">
        <f t="shared" si="2"/>
        <v>790</v>
      </c>
      <c r="P37" s="86">
        <f t="shared" si="3"/>
        <v>460</v>
      </c>
      <c r="Q37" s="86">
        <f t="shared" si="4"/>
        <v>0</v>
      </c>
      <c r="R37" s="86">
        <f t="shared" si="5"/>
        <v>952</v>
      </c>
      <c r="S37" s="86">
        <f t="shared" si="6"/>
        <v>671.5</v>
      </c>
      <c r="T37" s="86">
        <f t="shared" si="7"/>
        <v>391</v>
      </c>
      <c r="U37" s="86">
        <f t="shared" si="8"/>
        <v>0</v>
      </c>
      <c r="V37" s="86">
        <f t="shared" si="9"/>
        <v>0</v>
      </c>
    </row>
    <row r="38" spans="1:22" x14ac:dyDescent="0.3">
      <c r="A38" s="55"/>
      <c r="B38" s="66" t="s">
        <v>36</v>
      </c>
      <c r="C38" s="64">
        <f t="shared" ref="C38:H38" si="15">C23</f>
        <v>17</v>
      </c>
      <c r="D38" s="59">
        <f t="shared" si="15"/>
        <v>15</v>
      </c>
      <c r="E38" s="59">
        <f t="shared" si="15"/>
        <v>13</v>
      </c>
      <c r="F38" s="59">
        <f t="shared" si="15"/>
        <v>11</v>
      </c>
      <c r="G38" s="59">
        <f t="shared" si="15"/>
        <v>17</v>
      </c>
      <c r="H38" s="59">
        <f t="shared" si="15"/>
        <v>15</v>
      </c>
      <c r="I38" s="59">
        <f t="shared" ref="I38:K39" si="16">I23</f>
        <v>13</v>
      </c>
      <c r="J38" s="59">
        <f t="shared" si="16"/>
        <v>11</v>
      </c>
      <c r="K38" s="60">
        <f t="shared" si="16"/>
        <v>10</v>
      </c>
      <c r="N38" s="86">
        <f t="shared" si="1"/>
        <v>1020</v>
      </c>
      <c r="O38" s="86">
        <f t="shared" si="2"/>
        <v>900</v>
      </c>
      <c r="P38" s="86">
        <f t="shared" si="3"/>
        <v>780</v>
      </c>
      <c r="Q38" s="86">
        <f t="shared" si="4"/>
        <v>660</v>
      </c>
      <c r="R38" s="86">
        <f t="shared" si="5"/>
        <v>1020</v>
      </c>
      <c r="S38" s="86">
        <f t="shared" si="6"/>
        <v>900</v>
      </c>
      <c r="T38" s="86">
        <f t="shared" si="7"/>
        <v>780</v>
      </c>
      <c r="U38" s="86">
        <f t="shared" si="8"/>
        <v>660</v>
      </c>
      <c r="V38" s="86">
        <f t="shared" si="9"/>
        <v>600</v>
      </c>
    </row>
    <row r="39" spans="1:22" x14ac:dyDescent="0.3">
      <c r="A39" s="55"/>
      <c r="B39" s="66" t="s">
        <v>37</v>
      </c>
      <c r="C39" s="64">
        <f t="shared" ref="C39:H39" si="17">C24</f>
        <v>19</v>
      </c>
      <c r="D39" s="59">
        <f t="shared" si="17"/>
        <v>17</v>
      </c>
      <c r="E39" s="59">
        <f t="shared" si="17"/>
        <v>15</v>
      </c>
      <c r="F39" s="59">
        <f t="shared" si="17"/>
        <v>12</v>
      </c>
      <c r="G39" s="59">
        <f t="shared" si="17"/>
        <v>19</v>
      </c>
      <c r="H39" s="59">
        <f t="shared" si="17"/>
        <v>17</v>
      </c>
      <c r="I39" s="59">
        <f t="shared" si="16"/>
        <v>15</v>
      </c>
      <c r="J39" s="59">
        <f t="shared" si="16"/>
        <v>12</v>
      </c>
      <c r="K39" s="60">
        <f t="shared" si="16"/>
        <v>10</v>
      </c>
      <c r="N39" s="86">
        <f t="shared" si="1"/>
        <v>1140</v>
      </c>
      <c r="O39" s="86">
        <f t="shared" si="2"/>
        <v>1020</v>
      </c>
      <c r="P39" s="86">
        <f t="shared" si="3"/>
        <v>900</v>
      </c>
      <c r="Q39" s="86">
        <f t="shared" si="4"/>
        <v>720</v>
      </c>
      <c r="R39" s="86">
        <f t="shared" si="5"/>
        <v>1140</v>
      </c>
      <c r="S39" s="86">
        <f t="shared" si="6"/>
        <v>1020</v>
      </c>
      <c r="T39" s="86">
        <f t="shared" si="7"/>
        <v>900</v>
      </c>
      <c r="U39" s="86">
        <f t="shared" si="8"/>
        <v>720</v>
      </c>
      <c r="V39" s="86">
        <f t="shared" si="9"/>
        <v>600</v>
      </c>
    </row>
    <row r="40" spans="1:22" ht="14.55" customHeight="1" x14ac:dyDescent="0.3">
      <c r="A40" s="56"/>
      <c r="B40" s="255" t="s">
        <v>38</v>
      </c>
      <c r="C40" s="65">
        <f t="shared" ref="C40:H40" si="18">C27</f>
        <v>20</v>
      </c>
      <c r="D40" s="61">
        <f t="shared" si="18"/>
        <v>18</v>
      </c>
      <c r="E40" s="61">
        <f t="shared" si="18"/>
        <v>16</v>
      </c>
      <c r="F40" s="61">
        <f t="shared" si="18"/>
        <v>12</v>
      </c>
      <c r="G40" s="61">
        <f t="shared" si="18"/>
        <v>20</v>
      </c>
      <c r="H40" s="61">
        <f t="shared" si="18"/>
        <v>18</v>
      </c>
      <c r="I40" s="61">
        <f>I27</f>
        <v>16</v>
      </c>
      <c r="J40" s="61">
        <f>J27</f>
        <v>12</v>
      </c>
      <c r="K40" s="62">
        <f>K27</f>
        <v>10</v>
      </c>
      <c r="L40" s="79"/>
      <c r="N40" s="86">
        <f t="shared" si="1"/>
        <v>1200</v>
      </c>
      <c r="O40" s="86">
        <f t="shared" si="2"/>
        <v>1080</v>
      </c>
      <c r="P40" s="86">
        <f t="shared" si="3"/>
        <v>960</v>
      </c>
      <c r="Q40" s="86">
        <f t="shared" si="4"/>
        <v>720</v>
      </c>
      <c r="R40" s="86">
        <f t="shared" si="5"/>
        <v>1200</v>
      </c>
      <c r="S40" s="86">
        <f t="shared" si="6"/>
        <v>1080</v>
      </c>
      <c r="T40" s="86">
        <f t="shared" si="7"/>
        <v>960</v>
      </c>
      <c r="U40" s="86">
        <f t="shared" si="8"/>
        <v>720</v>
      </c>
      <c r="V40" s="86">
        <f t="shared" si="9"/>
        <v>600</v>
      </c>
    </row>
    <row r="41" spans="1:22" x14ac:dyDescent="0.3">
      <c r="A41" s="35"/>
      <c r="B41" s="15"/>
      <c r="C41" s="5"/>
      <c r="D41" s="5"/>
      <c r="E41" s="7"/>
      <c r="F41" s="7"/>
      <c r="G41" s="7"/>
      <c r="H41" s="7"/>
      <c r="I41" s="7"/>
      <c r="J41" s="7"/>
      <c r="K41" s="7"/>
      <c r="L41" s="68"/>
    </row>
  </sheetData>
  <mergeCells count="5">
    <mergeCell ref="L32:L34"/>
    <mergeCell ref="G2:K2"/>
    <mergeCell ref="C2:F2"/>
    <mergeCell ref="C29:F29"/>
    <mergeCell ref="G29:K2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5"/>
  <sheetViews>
    <sheetView zoomScale="85" zoomScaleNormal="85" workbookViewId="0">
      <selection activeCell="B24" sqref="B24"/>
    </sheetView>
  </sheetViews>
  <sheetFormatPr defaultRowHeight="14.4" x14ac:dyDescent="0.3"/>
  <cols>
    <col min="1" max="1" width="27.21875" customWidth="1"/>
    <col min="2" max="2" width="44.77734375" customWidth="1"/>
    <col min="12" max="12" width="39.77734375" customWidth="1"/>
  </cols>
  <sheetData>
    <row r="1" spans="1:25" ht="18" x14ac:dyDescent="0.35">
      <c r="A1" s="37" t="s">
        <v>77</v>
      </c>
      <c r="C1" s="38"/>
      <c r="D1" s="38"/>
      <c r="E1" s="39"/>
      <c r="F1" s="39"/>
      <c r="G1" s="40"/>
      <c r="H1" s="39"/>
      <c r="I1" s="39"/>
      <c r="J1" s="39"/>
      <c r="N1" s="51"/>
      <c r="O1" s="51"/>
      <c r="P1" s="51"/>
      <c r="Q1" s="51"/>
      <c r="R1" s="51"/>
      <c r="S1" s="51"/>
    </row>
    <row r="2" spans="1:25" ht="17.399999999999999" x14ac:dyDescent="0.3">
      <c r="A2" s="41" t="s">
        <v>78</v>
      </c>
      <c r="B2" s="41"/>
      <c r="C2" s="285" t="s">
        <v>2</v>
      </c>
      <c r="D2" s="283"/>
      <c r="E2" s="283"/>
      <c r="F2" s="284"/>
      <c r="G2" s="283" t="s">
        <v>3</v>
      </c>
      <c r="H2" s="283"/>
      <c r="I2" s="283"/>
      <c r="J2" s="283"/>
      <c r="K2" s="284"/>
      <c r="L2" s="3" t="s">
        <v>5</v>
      </c>
      <c r="M2" s="8"/>
      <c r="N2" s="51"/>
      <c r="O2" s="51"/>
      <c r="P2" s="51"/>
      <c r="Q2" s="51"/>
      <c r="R2" s="51"/>
      <c r="S2" s="51"/>
    </row>
    <row r="3" spans="1:25" ht="14.55" customHeight="1" x14ac:dyDescent="0.3">
      <c r="A3" s="19" t="s">
        <v>4</v>
      </c>
      <c r="B3" s="47" t="s">
        <v>6</v>
      </c>
      <c r="C3" s="9" t="s">
        <v>51</v>
      </c>
      <c r="D3" s="10" t="s">
        <v>52</v>
      </c>
      <c r="E3" s="10" t="s">
        <v>53</v>
      </c>
      <c r="F3" s="11" t="s">
        <v>54</v>
      </c>
      <c r="G3" s="10" t="s">
        <v>51</v>
      </c>
      <c r="H3" s="10" t="s">
        <v>52</v>
      </c>
      <c r="I3" s="10" t="s">
        <v>53</v>
      </c>
      <c r="J3" s="10" t="s">
        <v>54</v>
      </c>
      <c r="K3" s="11" t="s">
        <v>55</v>
      </c>
      <c r="L3" s="3" t="s">
        <v>57</v>
      </c>
      <c r="M3" s="6"/>
      <c r="N3" s="51"/>
      <c r="O3" s="51"/>
      <c r="P3" s="51"/>
      <c r="Q3" s="51"/>
      <c r="R3" s="51"/>
      <c r="S3" s="51"/>
      <c r="T3" s="52"/>
      <c r="U3" s="52"/>
      <c r="V3" s="52"/>
      <c r="W3" s="52"/>
      <c r="X3" s="52"/>
      <c r="Y3" s="52"/>
    </row>
    <row r="4" spans="1:25" s="34" customFormat="1" x14ac:dyDescent="0.3">
      <c r="A4" s="49" t="s">
        <v>13</v>
      </c>
      <c r="C4" s="289"/>
      <c r="D4" s="289"/>
      <c r="E4" s="289"/>
      <c r="F4" s="289"/>
      <c r="G4" s="289"/>
      <c r="H4" s="289"/>
      <c r="I4" s="289"/>
      <c r="J4" s="289"/>
      <c r="K4" s="289"/>
    </row>
    <row r="5" spans="1:25" x14ac:dyDescent="0.3">
      <c r="A5" s="18" t="s">
        <v>19</v>
      </c>
      <c r="B5" s="17" t="s">
        <v>20</v>
      </c>
      <c r="C5" s="67">
        <v>15</v>
      </c>
      <c r="D5" s="67">
        <v>25</v>
      </c>
      <c r="E5" s="67">
        <v>35</v>
      </c>
      <c r="F5" s="67">
        <v>45</v>
      </c>
      <c r="G5" s="67">
        <v>15</v>
      </c>
      <c r="H5" s="67">
        <v>25</v>
      </c>
      <c r="I5" s="67">
        <v>35</v>
      </c>
      <c r="J5" s="67">
        <v>45</v>
      </c>
      <c r="K5" s="67">
        <v>55</v>
      </c>
      <c r="L5" s="27"/>
    </row>
    <row r="6" spans="1:25" x14ac:dyDescent="0.3">
      <c r="A6" s="35"/>
      <c r="B6" s="15" t="s">
        <v>14</v>
      </c>
      <c r="C6" s="20">
        <f>5.257*10^-4*C5^2</f>
        <v>0.11828250000000001</v>
      </c>
      <c r="D6" s="20">
        <f t="shared" ref="D6:K6" si="0">5.257*10^-4*D5^2</f>
        <v>0.32856250000000004</v>
      </c>
      <c r="E6" s="20">
        <f t="shared" si="0"/>
        <v>0.64398250000000001</v>
      </c>
      <c r="F6" s="20">
        <f t="shared" si="0"/>
        <v>1.0645425000000002</v>
      </c>
      <c r="G6" s="20">
        <f t="shared" si="0"/>
        <v>0.11828250000000001</v>
      </c>
      <c r="H6" s="20">
        <f t="shared" si="0"/>
        <v>0.32856250000000004</v>
      </c>
      <c r="I6" s="20">
        <f t="shared" si="0"/>
        <v>0.64398250000000001</v>
      </c>
      <c r="J6" s="20">
        <f t="shared" si="0"/>
        <v>1.0645425000000002</v>
      </c>
      <c r="K6" s="20">
        <f t="shared" si="0"/>
        <v>1.5902425000000002</v>
      </c>
      <c r="L6" s="27" t="s">
        <v>76</v>
      </c>
    </row>
    <row r="7" spans="1:25" x14ac:dyDescent="0.3">
      <c r="A7" s="35"/>
      <c r="B7" s="15" t="s">
        <v>15</v>
      </c>
      <c r="C7" s="20">
        <f>4.013*10^-4*C5^2</f>
        <v>9.0292499999999998E-2</v>
      </c>
      <c r="D7" s="20">
        <f t="shared" ref="D7:K7" si="1">4.013*10^-4*D5^2</f>
        <v>0.25081249999999999</v>
      </c>
      <c r="E7" s="20">
        <f t="shared" si="1"/>
        <v>0.49159249999999999</v>
      </c>
      <c r="F7" s="20">
        <f t="shared" si="1"/>
        <v>0.81263249999999998</v>
      </c>
      <c r="G7" s="20">
        <f t="shared" si="1"/>
        <v>9.0292499999999998E-2</v>
      </c>
      <c r="H7" s="20">
        <f t="shared" si="1"/>
        <v>0.25081249999999999</v>
      </c>
      <c r="I7" s="20">
        <f t="shared" si="1"/>
        <v>0.49159249999999999</v>
      </c>
      <c r="J7" s="20">
        <f t="shared" si="1"/>
        <v>0.81263249999999998</v>
      </c>
      <c r="K7" s="20">
        <f t="shared" si="1"/>
        <v>1.2139325000000001</v>
      </c>
      <c r="L7" s="27" t="s">
        <v>75</v>
      </c>
    </row>
    <row r="8" spans="1:25" x14ac:dyDescent="0.3">
      <c r="A8" s="34"/>
      <c r="B8" s="34"/>
      <c r="C8" s="34"/>
      <c r="D8" s="34"/>
      <c r="E8" s="34"/>
      <c r="F8" s="34"/>
      <c r="G8" s="34"/>
      <c r="H8" s="34"/>
      <c r="I8" s="34"/>
      <c r="J8" s="34"/>
      <c r="K8" s="34"/>
    </row>
    <row r="9" spans="1:25" x14ac:dyDescent="0.3">
      <c r="A9" s="18" t="s">
        <v>34</v>
      </c>
      <c r="B9" s="17" t="s">
        <v>35</v>
      </c>
      <c r="C9" s="1">
        <v>15</v>
      </c>
      <c r="D9" s="1">
        <v>25</v>
      </c>
      <c r="E9" s="1">
        <v>35</v>
      </c>
      <c r="F9" s="1">
        <v>45</v>
      </c>
      <c r="G9" s="1">
        <v>15</v>
      </c>
      <c r="H9" s="1">
        <v>25</v>
      </c>
      <c r="I9" s="1">
        <v>35</v>
      </c>
      <c r="J9" s="1">
        <v>45</v>
      </c>
      <c r="K9" s="1">
        <v>55</v>
      </c>
    </row>
    <row r="10" spans="1:25" x14ac:dyDescent="0.3">
      <c r="A10" s="34"/>
      <c r="B10" s="4" t="s">
        <v>36</v>
      </c>
      <c r="C10" s="80">
        <f>0.000579*C9^2</f>
        <v>0.130275</v>
      </c>
      <c r="D10" s="80">
        <f t="shared" ref="D10:K10" si="2">0.000579*D9^2</f>
        <v>0.361875</v>
      </c>
      <c r="E10" s="80">
        <f t="shared" si="2"/>
        <v>0.70927499999999999</v>
      </c>
      <c r="F10" s="80">
        <f t="shared" si="2"/>
        <v>1.1724749999999999</v>
      </c>
      <c r="G10" s="80">
        <f t="shared" si="2"/>
        <v>0.130275</v>
      </c>
      <c r="H10" s="20">
        <f t="shared" si="2"/>
        <v>0.361875</v>
      </c>
      <c r="I10" s="20">
        <f t="shared" si="2"/>
        <v>0.70927499999999999</v>
      </c>
      <c r="J10" s="20">
        <f t="shared" si="2"/>
        <v>1.1724749999999999</v>
      </c>
      <c r="K10" s="20">
        <f t="shared" si="2"/>
        <v>1.7514749999999999</v>
      </c>
      <c r="L10" t="s">
        <v>74</v>
      </c>
      <c r="M10" t="s">
        <v>65</v>
      </c>
    </row>
    <row r="11" spans="1:25" x14ac:dyDescent="0.3">
      <c r="A11" s="34"/>
      <c r="B11" s="4" t="s">
        <v>37</v>
      </c>
      <c r="C11" s="80">
        <f>0.000579*C9^2</f>
        <v>0.130275</v>
      </c>
      <c r="D11" s="80">
        <f t="shared" ref="D11:K11" si="3">0.000579*D9^2</f>
        <v>0.361875</v>
      </c>
      <c r="E11" s="80">
        <f t="shared" si="3"/>
        <v>0.70927499999999999</v>
      </c>
      <c r="F11" s="80">
        <f t="shared" si="3"/>
        <v>1.1724749999999999</v>
      </c>
      <c r="G11" s="80">
        <f t="shared" si="3"/>
        <v>0.130275</v>
      </c>
      <c r="H11" s="80">
        <f t="shared" si="3"/>
        <v>0.361875</v>
      </c>
      <c r="I11" s="20">
        <f t="shared" si="3"/>
        <v>0.70927499999999999</v>
      </c>
      <c r="J11" s="20">
        <f t="shared" si="3"/>
        <v>1.1724749999999999</v>
      </c>
      <c r="K11" s="20">
        <f t="shared" si="3"/>
        <v>1.7514749999999999</v>
      </c>
      <c r="L11" t="s">
        <v>74</v>
      </c>
      <c r="M11" t="s">
        <v>65</v>
      </c>
    </row>
    <row r="12" spans="1:25" x14ac:dyDescent="0.3">
      <c r="A12" s="34"/>
      <c r="B12" s="4"/>
      <c r="C12" s="28"/>
      <c r="D12" s="28"/>
      <c r="E12" s="28"/>
      <c r="F12" s="28"/>
      <c r="G12" s="28"/>
      <c r="H12" s="20"/>
      <c r="I12" s="20"/>
      <c r="J12" s="20"/>
      <c r="K12" s="20"/>
    </row>
    <row r="13" spans="1:25" x14ac:dyDescent="0.3">
      <c r="A13" s="3"/>
      <c r="B13" s="3"/>
      <c r="C13" s="285" t="s">
        <v>2</v>
      </c>
      <c r="D13" s="283"/>
      <c r="E13" s="283"/>
      <c r="F13" s="284"/>
      <c r="G13" s="286" t="s">
        <v>3</v>
      </c>
      <c r="H13" s="286"/>
      <c r="I13" s="286"/>
      <c r="J13" s="286"/>
      <c r="K13" s="287"/>
      <c r="M13" s="6"/>
    </row>
    <row r="14" spans="1:25" x14ac:dyDescent="0.3">
      <c r="A14" s="44" t="s">
        <v>50</v>
      </c>
      <c r="B14" s="50" t="s">
        <v>56</v>
      </c>
      <c r="C14" s="83" t="s">
        <v>51</v>
      </c>
      <c r="D14" s="84" t="s">
        <v>52</v>
      </c>
      <c r="E14" s="84" t="s">
        <v>53</v>
      </c>
      <c r="F14" s="85" t="s">
        <v>54</v>
      </c>
      <c r="G14" s="84" t="s">
        <v>51</v>
      </c>
      <c r="H14" s="84" t="s">
        <v>52</v>
      </c>
      <c r="I14" s="84" t="s">
        <v>53</v>
      </c>
      <c r="J14" s="84" t="s">
        <v>54</v>
      </c>
      <c r="K14" s="85" t="s">
        <v>55</v>
      </c>
      <c r="M14" s="6"/>
    </row>
    <row r="15" spans="1:25" x14ac:dyDescent="0.3">
      <c r="A15" s="53" t="s">
        <v>80</v>
      </c>
      <c r="B15" s="43" t="s">
        <v>14</v>
      </c>
      <c r="C15" s="69">
        <f>C6</f>
        <v>0.11828250000000001</v>
      </c>
      <c r="D15" s="70">
        <f t="shared" ref="D15:K15" si="4">D6</f>
        <v>0.32856250000000004</v>
      </c>
      <c r="E15" s="70">
        <f t="shared" si="4"/>
        <v>0.64398250000000001</v>
      </c>
      <c r="F15" s="70">
        <f t="shared" si="4"/>
        <v>1.0645425000000002</v>
      </c>
      <c r="G15" s="70">
        <f t="shared" si="4"/>
        <v>0.11828250000000001</v>
      </c>
      <c r="H15" s="70">
        <f t="shared" si="4"/>
        <v>0.32856250000000004</v>
      </c>
      <c r="I15" s="70">
        <f t="shared" si="4"/>
        <v>0.64398250000000001</v>
      </c>
      <c r="J15" s="70">
        <f t="shared" si="4"/>
        <v>1.0645425000000002</v>
      </c>
      <c r="K15" s="71">
        <f t="shared" si="4"/>
        <v>1.5902425000000002</v>
      </c>
      <c r="L15" t="s">
        <v>89</v>
      </c>
      <c r="M15" s="6"/>
    </row>
    <row r="16" spans="1:25" x14ac:dyDescent="0.3">
      <c r="A16" s="54"/>
      <c r="B16" s="30" t="s">
        <v>22</v>
      </c>
      <c r="C16" s="72">
        <f>C15</f>
        <v>0.11828250000000001</v>
      </c>
      <c r="D16" s="73">
        <f>D15</f>
        <v>0.32856250000000004</v>
      </c>
      <c r="E16" s="21"/>
      <c r="F16" s="21"/>
      <c r="G16" s="73">
        <f>G15</f>
        <v>0.11828250000000001</v>
      </c>
      <c r="H16" s="73">
        <f>H15</f>
        <v>0.32856250000000004</v>
      </c>
      <c r="I16" s="21"/>
      <c r="J16" s="21"/>
      <c r="K16" s="22"/>
      <c r="L16" s="288" t="s">
        <v>87</v>
      </c>
      <c r="M16" s="6"/>
    </row>
    <row r="17" spans="1:13" x14ac:dyDescent="0.3">
      <c r="A17" s="54"/>
      <c r="B17" s="30" t="s">
        <v>23</v>
      </c>
      <c r="C17" s="72">
        <f>C15</f>
        <v>0.11828250000000001</v>
      </c>
      <c r="D17" s="73">
        <f t="shared" ref="D17:J17" si="5">D15</f>
        <v>0.32856250000000004</v>
      </c>
      <c r="E17" s="73">
        <f t="shared" si="5"/>
        <v>0.64398250000000001</v>
      </c>
      <c r="F17" s="73">
        <f t="shared" si="5"/>
        <v>1.0645425000000002</v>
      </c>
      <c r="G17" s="73">
        <f t="shared" si="5"/>
        <v>0.11828250000000001</v>
      </c>
      <c r="H17" s="73">
        <f t="shared" si="5"/>
        <v>0.32856250000000004</v>
      </c>
      <c r="I17" s="73">
        <f t="shared" si="5"/>
        <v>0.64398250000000001</v>
      </c>
      <c r="J17" s="73">
        <f t="shared" si="5"/>
        <v>1.0645425000000002</v>
      </c>
      <c r="K17" s="22"/>
      <c r="L17" s="288"/>
      <c r="M17" s="6"/>
    </row>
    <row r="18" spans="1:13" x14ac:dyDescent="0.3">
      <c r="A18" s="54"/>
      <c r="B18" s="30" t="s">
        <v>24</v>
      </c>
      <c r="C18" s="75">
        <f>C15</f>
        <v>0.11828250000000001</v>
      </c>
      <c r="D18" s="76">
        <f t="shared" ref="D18:J18" si="6">D15</f>
        <v>0.32856250000000004</v>
      </c>
      <c r="E18" s="76">
        <f t="shared" si="6"/>
        <v>0.64398250000000001</v>
      </c>
      <c r="F18" s="76">
        <f t="shared" si="6"/>
        <v>1.0645425000000002</v>
      </c>
      <c r="G18" s="76">
        <f t="shared" si="6"/>
        <v>0.11828250000000001</v>
      </c>
      <c r="H18" s="76">
        <f t="shared" si="6"/>
        <v>0.32856250000000004</v>
      </c>
      <c r="I18" s="76">
        <f t="shared" si="6"/>
        <v>0.64398250000000001</v>
      </c>
      <c r="J18" s="76">
        <f t="shared" si="6"/>
        <v>1.0645425000000002</v>
      </c>
      <c r="K18" s="77"/>
      <c r="L18" s="288"/>
      <c r="M18" s="6"/>
    </row>
    <row r="19" spans="1:13" x14ac:dyDescent="0.3">
      <c r="A19" s="53" t="s">
        <v>81</v>
      </c>
      <c r="B19" s="43" t="s">
        <v>15</v>
      </c>
      <c r="C19" s="72">
        <f>C7</f>
        <v>9.0292499999999998E-2</v>
      </c>
      <c r="D19" s="73">
        <f t="shared" ref="D19:K19" si="7">D7</f>
        <v>0.25081249999999999</v>
      </c>
      <c r="E19" s="73">
        <f t="shared" si="7"/>
        <v>0.49159249999999999</v>
      </c>
      <c r="F19" s="73">
        <f t="shared" si="7"/>
        <v>0.81263249999999998</v>
      </c>
      <c r="G19" s="73">
        <f t="shared" si="7"/>
        <v>9.0292499999999998E-2</v>
      </c>
      <c r="H19" s="73">
        <f t="shared" si="7"/>
        <v>0.25081249999999999</v>
      </c>
      <c r="I19" s="73">
        <f t="shared" si="7"/>
        <v>0.49159249999999999</v>
      </c>
      <c r="J19" s="73">
        <f t="shared" si="7"/>
        <v>0.81263249999999998</v>
      </c>
      <c r="K19" s="74">
        <f t="shared" si="7"/>
        <v>1.2139325000000001</v>
      </c>
      <c r="L19" t="s">
        <v>84</v>
      </c>
      <c r="M19" s="6"/>
    </row>
    <row r="20" spans="1:13" x14ac:dyDescent="0.3">
      <c r="A20" s="55"/>
      <c r="B20" s="15" t="s">
        <v>25</v>
      </c>
      <c r="C20" s="72">
        <f>C19</f>
        <v>9.0292499999999998E-2</v>
      </c>
      <c r="D20" s="73">
        <f>D19</f>
        <v>0.25081249999999999</v>
      </c>
      <c r="E20" s="73">
        <f>E19</f>
        <v>0.49159249999999999</v>
      </c>
      <c r="F20" s="21"/>
      <c r="G20" s="73">
        <f>G19</f>
        <v>9.0292499999999998E-2</v>
      </c>
      <c r="H20" s="73">
        <f>H19</f>
        <v>0.25081249999999999</v>
      </c>
      <c r="I20" s="73">
        <f>I19</f>
        <v>0.49159249999999999</v>
      </c>
      <c r="J20" s="21"/>
      <c r="K20" s="22"/>
      <c r="L20" s="257" t="s">
        <v>85</v>
      </c>
      <c r="M20" s="6"/>
    </row>
    <row r="21" spans="1:13" x14ac:dyDescent="0.3">
      <c r="A21" s="55"/>
      <c r="B21" s="15" t="s">
        <v>71</v>
      </c>
      <c r="C21" s="72">
        <f>C19</f>
        <v>9.0292499999999998E-2</v>
      </c>
      <c r="D21" s="73">
        <f>D19</f>
        <v>0.25081249999999999</v>
      </c>
      <c r="E21" s="73">
        <f>E19</f>
        <v>0.49159249999999999</v>
      </c>
      <c r="F21" s="21"/>
      <c r="G21" s="73">
        <f>G19</f>
        <v>9.0292499999999998E-2</v>
      </c>
      <c r="H21" s="73">
        <f>H19</f>
        <v>0.25081249999999999</v>
      </c>
      <c r="I21" s="73">
        <f>I19</f>
        <v>0.49159249999999999</v>
      </c>
      <c r="J21" s="21"/>
      <c r="K21" s="22"/>
      <c r="L21" t="s">
        <v>79</v>
      </c>
      <c r="M21" s="6"/>
    </row>
    <row r="22" spans="1:13" x14ac:dyDescent="0.3">
      <c r="A22" s="55"/>
      <c r="B22" s="81" t="s">
        <v>36</v>
      </c>
      <c r="C22" s="73">
        <f>C10</f>
        <v>0.130275</v>
      </c>
      <c r="D22" s="73">
        <f t="shared" ref="D22:H22" si="8">D10</f>
        <v>0.361875</v>
      </c>
      <c r="E22" s="73">
        <f t="shared" si="8"/>
        <v>0.70927499999999999</v>
      </c>
      <c r="F22" s="73">
        <f t="shared" si="8"/>
        <v>1.1724749999999999</v>
      </c>
      <c r="G22" s="73">
        <f t="shared" si="8"/>
        <v>0.130275</v>
      </c>
      <c r="H22" s="73">
        <f t="shared" si="8"/>
        <v>0.361875</v>
      </c>
      <c r="I22" s="73">
        <f t="shared" ref="I22:K23" si="9">I10</f>
        <v>0.70927499999999999</v>
      </c>
      <c r="J22" s="73">
        <f t="shared" si="9"/>
        <v>1.1724749999999999</v>
      </c>
      <c r="K22" s="74">
        <f t="shared" si="9"/>
        <v>1.7514749999999999</v>
      </c>
      <c r="L22" t="s">
        <v>84</v>
      </c>
      <c r="M22" s="6"/>
    </row>
    <row r="23" spans="1:13" x14ac:dyDescent="0.3">
      <c r="A23" s="55"/>
      <c r="B23" s="81" t="s">
        <v>37</v>
      </c>
      <c r="C23" s="73">
        <f t="shared" ref="C23:H23" si="10">C11</f>
        <v>0.130275</v>
      </c>
      <c r="D23" s="73">
        <f t="shared" si="10"/>
        <v>0.361875</v>
      </c>
      <c r="E23" s="73">
        <f t="shared" si="10"/>
        <v>0.70927499999999999</v>
      </c>
      <c r="F23" s="73">
        <f t="shared" si="10"/>
        <v>1.1724749999999999</v>
      </c>
      <c r="G23" s="73">
        <f t="shared" si="10"/>
        <v>0.130275</v>
      </c>
      <c r="H23" s="73">
        <f t="shared" si="10"/>
        <v>0.361875</v>
      </c>
      <c r="I23" s="73">
        <f t="shared" si="9"/>
        <v>0.70927499999999999</v>
      </c>
      <c r="J23" s="73">
        <f t="shared" si="9"/>
        <v>1.1724749999999999</v>
      </c>
      <c r="K23" s="74">
        <f t="shared" si="9"/>
        <v>1.7514749999999999</v>
      </c>
      <c r="L23" t="s">
        <v>84</v>
      </c>
      <c r="M23" s="6"/>
    </row>
    <row r="24" spans="1:13" ht="14.55" customHeight="1" x14ac:dyDescent="0.3">
      <c r="A24" s="56"/>
      <c r="B24" s="36" t="s">
        <v>38</v>
      </c>
      <c r="C24" s="75">
        <f>C19</f>
        <v>9.0292499999999998E-2</v>
      </c>
      <c r="D24" s="76">
        <f t="shared" ref="D24:K24" si="11">D19</f>
        <v>0.25081249999999999</v>
      </c>
      <c r="E24" s="76">
        <f t="shared" si="11"/>
        <v>0.49159249999999999</v>
      </c>
      <c r="F24" s="76">
        <f t="shared" si="11"/>
        <v>0.81263249999999998</v>
      </c>
      <c r="G24" s="76">
        <f t="shared" si="11"/>
        <v>9.0292499999999998E-2</v>
      </c>
      <c r="H24" s="76">
        <f t="shared" si="11"/>
        <v>0.25081249999999999</v>
      </c>
      <c r="I24" s="76">
        <f t="shared" si="11"/>
        <v>0.49159249999999999</v>
      </c>
      <c r="J24" s="76">
        <f t="shared" si="11"/>
        <v>0.81263249999999998</v>
      </c>
      <c r="K24" s="256">
        <f t="shared" si="11"/>
        <v>1.2139325000000001</v>
      </c>
      <c r="L24" s="257" t="s">
        <v>86</v>
      </c>
      <c r="M24" s="6"/>
    </row>
    <row r="25" spans="1:13" ht="14.55" customHeight="1" x14ac:dyDescent="0.3">
      <c r="A25" s="35"/>
      <c r="B25" s="30"/>
      <c r="C25" s="7"/>
      <c r="D25" s="7"/>
      <c r="E25" s="7"/>
      <c r="F25" s="7"/>
      <c r="G25" s="7"/>
      <c r="H25" s="7"/>
      <c r="I25" s="7"/>
      <c r="J25" s="7"/>
      <c r="K25" s="7"/>
      <c r="L25" s="68"/>
      <c r="M25" s="6"/>
    </row>
  </sheetData>
  <mergeCells count="7">
    <mergeCell ref="C2:F2"/>
    <mergeCell ref="G2:K2"/>
    <mergeCell ref="L16:L18"/>
    <mergeCell ref="C4:F4"/>
    <mergeCell ref="G4:K4"/>
    <mergeCell ref="C13:F13"/>
    <mergeCell ref="G13:K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32"/>
  <sheetViews>
    <sheetView zoomScale="85" zoomScaleNormal="85" workbookViewId="0">
      <selection activeCell="H15" sqref="H15"/>
    </sheetView>
  </sheetViews>
  <sheetFormatPr defaultRowHeight="14.4" x14ac:dyDescent="0.3"/>
  <cols>
    <col min="1" max="1" width="27.21875" customWidth="1"/>
    <col min="2" max="2" width="42.77734375" customWidth="1"/>
    <col min="12" max="12" width="41" bestFit="1" customWidth="1"/>
  </cols>
  <sheetData>
    <row r="1" spans="1:25" ht="18" x14ac:dyDescent="0.35">
      <c r="A1" s="37" t="s">
        <v>104</v>
      </c>
      <c r="C1" s="38"/>
      <c r="D1" s="38"/>
      <c r="E1" s="39"/>
      <c r="F1" s="39"/>
      <c r="G1" s="40"/>
      <c r="H1" s="39"/>
      <c r="I1" s="39"/>
      <c r="J1" s="39"/>
      <c r="N1" s="51"/>
      <c r="O1" s="51"/>
      <c r="P1" s="51"/>
      <c r="Q1" s="51"/>
      <c r="R1" s="51"/>
      <c r="S1" s="51"/>
    </row>
    <row r="2" spans="1:25" ht="15.6" x14ac:dyDescent="0.3">
      <c r="A2" s="41" t="s">
        <v>102</v>
      </c>
      <c r="B2" s="41"/>
      <c r="C2" s="285" t="s">
        <v>2</v>
      </c>
      <c r="D2" s="283"/>
      <c r="E2" s="283"/>
      <c r="F2" s="284"/>
      <c r="G2" s="283" t="s">
        <v>3</v>
      </c>
      <c r="H2" s="283"/>
      <c r="I2" s="283"/>
      <c r="J2" s="283"/>
      <c r="K2" s="284"/>
      <c r="L2" s="3" t="s">
        <v>5</v>
      </c>
      <c r="M2" s="8"/>
      <c r="N2" s="51"/>
      <c r="O2" s="51"/>
      <c r="P2" s="51"/>
      <c r="Q2" s="51"/>
      <c r="R2" s="51"/>
      <c r="S2" s="51"/>
    </row>
    <row r="3" spans="1:25" ht="14.55" customHeight="1" x14ac:dyDescent="0.3">
      <c r="A3" s="19" t="s">
        <v>4</v>
      </c>
      <c r="B3" s="47" t="s">
        <v>6</v>
      </c>
      <c r="C3" s="9" t="s">
        <v>51</v>
      </c>
      <c r="D3" s="10" t="s">
        <v>52</v>
      </c>
      <c r="E3" s="10" t="s">
        <v>53</v>
      </c>
      <c r="F3" s="11" t="s">
        <v>54</v>
      </c>
      <c r="G3" s="10" t="s">
        <v>51</v>
      </c>
      <c r="H3" s="10" t="s">
        <v>52</v>
      </c>
      <c r="I3" s="10" t="s">
        <v>53</v>
      </c>
      <c r="J3" s="10" t="s">
        <v>54</v>
      </c>
      <c r="K3" s="11" t="s">
        <v>55</v>
      </c>
      <c r="L3" s="3" t="s">
        <v>57</v>
      </c>
      <c r="M3" s="268" t="s">
        <v>33</v>
      </c>
      <c r="N3" s="51" t="s">
        <v>34</v>
      </c>
      <c r="O3" s="51"/>
      <c r="P3" s="51"/>
      <c r="Q3" s="51"/>
      <c r="R3" s="51"/>
      <c r="S3" s="51"/>
      <c r="T3" s="52"/>
      <c r="U3" s="52"/>
      <c r="V3" s="52"/>
      <c r="W3" s="52"/>
      <c r="X3" s="52"/>
      <c r="Y3" s="52"/>
    </row>
    <row r="4" spans="1:25" s="34" customFormat="1" x14ac:dyDescent="0.3">
      <c r="A4" s="49" t="s">
        <v>13</v>
      </c>
      <c r="C4" s="289"/>
      <c r="D4" s="289"/>
      <c r="E4" s="289"/>
      <c r="F4" s="289"/>
      <c r="G4" s="289"/>
      <c r="H4" s="289"/>
      <c r="I4" s="289"/>
      <c r="J4" s="289"/>
      <c r="K4" s="289"/>
      <c r="M4" s="34" t="s">
        <v>94</v>
      </c>
      <c r="N4" s="34" t="s">
        <v>93</v>
      </c>
    </row>
    <row r="5" spans="1:25" x14ac:dyDescent="0.3">
      <c r="A5" s="18" t="s">
        <v>33</v>
      </c>
      <c r="B5" s="17" t="s">
        <v>35</v>
      </c>
      <c r="C5" s="1"/>
      <c r="D5" s="1"/>
      <c r="E5" s="1"/>
      <c r="F5" s="1"/>
      <c r="G5" s="1"/>
      <c r="H5" s="1"/>
      <c r="I5" s="1"/>
      <c r="J5" s="1"/>
      <c r="K5" s="1"/>
      <c r="L5" t="s">
        <v>82</v>
      </c>
    </row>
    <row r="6" spans="1:25" x14ac:dyDescent="0.3">
      <c r="A6" s="34"/>
      <c r="B6" s="66" t="s">
        <v>22</v>
      </c>
      <c r="C6" s="262">
        <v>0.38600000000000001</v>
      </c>
      <c r="D6" s="260">
        <v>0.38600000000000001</v>
      </c>
      <c r="E6" s="261"/>
      <c r="F6" s="261"/>
      <c r="G6" s="260">
        <v>0.38600000000000001</v>
      </c>
      <c r="H6" s="260">
        <v>0.38600000000000001</v>
      </c>
      <c r="I6" s="261"/>
      <c r="J6" s="261"/>
      <c r="K6" s="261"/>
      <c r="L6" s="290" t="s">
        <v>83</v>
      </c>
      <c r="M6" s="262">
        <v>0.38600000000000001</v>
      </c>
      <c r="N6" s="260">
        <v>0.42</v>
      </c>
    </row>
    <row r="7" spans="1:25" x14ac:dyDescent="0.3">
      <c r="A7" s="34"/>
      <c r="B7" s="66" t="s">
        <v>24</v>
      </c>
      <c r="C7" s="262">
        <v>0.60099999999999998</v>
      </c>
      <c r="D7" s="260">
        <v>0.60099999999999998</v>
      </c>
      <c r="E7" s="260">
        <v>0.60099999999999998</v>
      </c>
      <c r="F7" s="260">
        <v>0.60099999999999998</v>
      </c>
      <c r="G7" s="260">
        <v>0.60099999999999998</v>
      </c>
      <c r="H7" s="260">
        <v>0.60099999999999998</v>
      </c>
      <c r="I7" s="260">
        <v>0.60099999999999998</v>
      </c>
      <c r="J7" s="260">
        <v>0.60099999999999998</v>
      </c>
      <c r="K7" s="261"/>
      <c r="L7" s="290"/>
      <c r="M7" s="262">
        <v>0.60099999999999998</v>
      </c>
      <c r="N7" s="260">
        <v>0.61</v>
      </c>
    </row>
    <row r="8" spans="1:25" x14ac:dyDescent="0.3">
      <c r="A8" s="34"/>
      <c r="B8" s="66" t="s">
        <v>23</v>
      </c>
      <c r="C8" s="260">
        <v>0.34799999999999998</v>
      </c>
      <c r="D8" s="260">
        <v>0.34799999999999998</v>
      </c>
      <c r="E8" s="260">
        <v>0.34799999999999998</v>
      </c>
      <c r="F8" s="260">
        <v>0.34799999999999998</v>
      </c>
      <c r="G8" s="260">
        <v>0.34799999999999998</v>
      </c>
      <c r="H8" s="260">
        <v>0.34799999999999998</v>
      </c>
      <c r="I8" s="260">
        <v>0.34799999999999998</v>
      </c>
      <c r="J8" s="260">
        <v>0.34799999999999998</v>
      </c>
      <c r="K8" s="261"/>
      <c r="L8" s="290"/>
      <c r="M8" s="260">
        <v>0.34799999999999998</v>
      </c>
      <c r="N8" s="260">
        <v>0.26</v>
      </c>
    </row>
    <row r="9" spans="1:25" x14ac:dyDescent="0.3">
      <c r="A9" s="34"/>
      <c r="B9" s="66" t="s">
        <v>14</v>
      </c>
      <c r="C9" s="260">
        <v>0.88300000000000001</v>
      </c>
      <c r="D9" s="260">
        <v>0.88300000000000001</v>
      </c>
      <c r="E9" s="260">
        <v>0.88300000000000001</v>
      </c>
      <c r="F9" s="260">
        <v>0.88300000000000001</v>
      </c>
      <c r="G9" s="260">
        <v>0.88300000000000001</v>
      </c>
      <c r="H9" s="260">
        <v>0.88300000000000001</v>
      </c>
      <c r="I9" s="260">
        <v>0.88300000000000001</v>
      </c>
      <c r="J9" s="260">
        <v>0.88300000000000001</v>
      </c>
      <c r="K9" s="260">
        <v>0.88300000000000001</v>
      </c>
      <c r="M9" s="260">
        <v>0.88300000000000001</v>
      </c>
      <c r="N9" s="260">
        <v>0.39</v>
      </c>
    </row>
    <row r="10" spans="1:25" x14ac:dyDescent="0.3">
      <c r="A10" s="34"/>
      <c r="B10" s="66" t="s">
        <v>36</v>
      </c>
      <c r="C10" s="260">
        <v>0.95499999999999996</v>
      </c>
      <c r="D10" s="260">
        <v>0.95499999999999996</v>
      </c>
      <c r="E10" s="260">
        <v>0.95499999999999996</v>
      </c>
      <c r="F10" s="260">
        <v>0.95499999999999996</v>
      </c>
      <c r="G10" s="260">
        <v>0.95499999999999996</v>
      </c>
      <c r="H10" s="260">
        <v>0.95499999999999996</v>
      </c>
      <c r="I10" s="260">
        <v>0.95499999999999996</v>
      </c>
      <c r="J10" s="260">
        <v>0.95499999999999996</v>
      </c>
      <c r="K10" s="260">
        <v>0.95499999999999996</v>
      </c>
      <c r="M10" s="260">
        <v>0.95499999999999996</v>
      </c>
      <c r="N10" s="260">
        <v>0.74</v>
      </c>
    </row>
    <row r="11" spans="1:25" x14ac:dyDescent="0.3">
      <c r="A11" s="34"/>
      <c r="B11" s="66" t="s">
        <v>37</v>
      </c>
      <c r="C11" s="260">
        <v>0.93100000000000005</v>
      </c>
      <c r="D11" s="260">
        <v>0.93100000000000005</v>
      </c>
      <c r="E11" s="260">
        <v>0.93100000000000005</v>
      </c>
      <c r="F11" s="260">
        <v>0.93100000000000005</v>
      </c>
      <c r="G11" s="260">
        <v>0.93100000000000005</v>
      </c>
      <c r="H11" s="260">
        <v>0.93100000000000005</v>
      </c>
      <c r="I11" s="260">
        <v>0.93100000000000005</v>
      </c>
      <c r="J11" s="260">
        <v>0.93100000000000005</v>
      </c>
      <c r="K11" s="260">
        <v>0.93100000000000005</v>
      </c>
      <c r="M11" s="260">
        <v>0.93100000000000005</v>
      </c>
      <c r="N11" s="260">
        <v>0.72</v>
      </c>
    </row>
    <row r="12" spans="1:25" x14ac:dyDescent="0.3">
      <c r="A12" s="34"/>
      <c r="B12" s="66" t="s">
        <v>15</v>
      </c>
      <c r="C12" s="260">
        <v>0.98699999999999999</v>
      </c>
      <c r="D12" s="260">
        <v>0.98699999999999999</v>
      </c>
      <c r="E12" s="260">
        <v>0.98699999999999999</v>
      </c>
      <c r="F12" s="260">
        <v>0.98699999999999999</v>
      </c>
      <c r="G12" s="260">
        <v>0.98699999999999999</v>
      </c>
      <c r="H12" s="260">
        <v>0.98699999999999999</v>
      </c>
      <c r="I12" s="260">
        <v>0.98699999999999999</v>
      </c>
      <c r="J12" s="260">
        <v>0.98699999999999999</v>
      </c>
      <c r="K12" s="260">
        <v>0.98699999999999999</v>
      </c>
      <c r="M12" s="260">
        <v>0.98699999999999999</v>
      </c>
      <c r="N12" s="260">
        <v>0.64</v>
      </c>
    </row>
    <row r="13" spans="1:25" x14ac:dyDescent="0.3">
      <c r="A13" s="34"/>
      <c r="B13" s="66" t="s">
        <v>25</v>
      </c>
      <c r="C13" s="260">
        <v>0.94699999999999995</v>
      </c>
      <c r="D13" s="260">
        <v>0.94699999999999995</v>
      </c>
      <c r="E13" s="260">
        <v>0.94699999999999995</v>
      </c>
      <c r="F13" s="261"/>
      <c r="G13" s="260">
        <v>0.94699999999999995</v>
      </c>
      <c r="H13" s="260">
        <v>0.94699999999999995</v>
      </c>
      <c r="I13" s="260">
        <v>0.94699999999999995</v>
      </c>
      <c r="J13" s="261"/>
      <c r="K13" s="261"/>
      <c r="M13" s="260">
        <v>0.94699999999999995</v>
      </c>
      <c r="N13" s="260">
        <v>0.76</v>
      </c>
    </row>
    <row r="14" spans="1:25" x14ac:dyDescent="0.3">
      <c r="A14" s="34"/>
      <c r="B14" s="66" t="s">
        <v>38</v>
      </c>
      <c r="C14" s="260">
        <v>0.99199999999999999</v>
      </c>
      <c r="D14" s="260">
        <v>0.99199999999999999</v>
      </c>
      <c r="E14" s="260">
        <v>0.99199999999999999</v>
      </c>
      <c r="F14" s="260">
        <v>0.99199999999999999</v>
      </c>
      <c r="G14" s="260">
        <v>0.99199999999999999</v>
      </c>
      <c r="H14" s="260">
        <v>0.99199999999999999</v>
      </c>
      <c r="I14" s="260">
        <v>0.99199999999999999</v>
      </c>
      <c r="J14" s="260">
        <v>0.99199999999999999</v>
      </c>
      <c r="K14" s="260">
        <v>0.99199999999999999</v>
      </c>
      <c r="M14" s="260">
        <v>0.99199999999999999</v>
      </c>
      <c r="N14" s="260">
        <v>0.88</v>
      </c>
    </row>
    <row r="15" spans="1:25" x14ac:dyDescent="0.3">
      <c r="A15" s="18" t="s">
        <v>123</v>
      </c>
      <c r="B15" s="278" t="s">
        <v>20</v>
      </c>
      <c r="C15" s="279"/>
      <c r="D15" s="279"/>
      <c r="E15" s="279"/>
      <c r="F15" s="279"/>
      <c r="G15" s="279"/>
      <c r="H15" s="279"/>
      <c r="I15" s="279"/>
      <c r="J15" s="279"/>
      <c r="K15" s="279"/>
      <c r="L15" t="s">
        <v>121</v>
      </c>
      <c r="M15" s="260"/>
      <c r="N15" s="260"/>
    </row>
    <row r="16" spans="1:25" x14ac:dyDescent="0.3">
      <c r="A16" s="34"/>
      <c r="B16" s="66" t="s">
        <v>14</v>
      </c>
      <c r="C16" s="260">
        <f>(((37.9+44.9)/100)+((29.7+35.1+17.9)/100))/2</f>
        <v>0.8274999999999999</v>
      </c>
      <c r="D16" s="260">
        <f t="shared" ref="D16:F16" si="0">(((37.9+44.9)/100)+((29.7+35.1+17.9)/100))/2</f>
        <v>0.8274999999999999</v>
      </c>
      <c r="E16" s="260">
        <f t="shared" si="0"/>
        <v>0.8274999999999999</v>
      </c>
      <c r="F16" s="260">
        <f t="shared" si="0"/>
        <v>0.8274999999999999</v>
      </c>
      <c r="G16" s="260">
        <f>(((47.5+43.7)/100)+((26.3+28+26.3)/100))/2</f>
        <v>0.85899999999999999</v>
      </c>
      <c r="H16" s="260">
        <f t="shared" ref="H16:K16" si="1">(((47.5+43.7)/100)+((26.3+28+26.3)/100))/2</f>
        <v>0.85899999999999999</v>
      </c>
      <c r="I16" s="260">
        <f t="shared" si="1"/>
        <v>0.85899999999999999</v>
      </c>
      <c r="J16" s="260">
        <f t="shared" si="1"/>
        <v>0.85899999999999999</v>
      </c>
      <c r="K16" s="260">
        <f t="shared" si="1"/>
        <v>0.85899999999999999</v>
      </c>
      <c r="L16" t="s">
        <v>120</v>
      </c>
      <c r="M16" s="260"/>
      <c r="N16" s="260"/>
    </row>
    <row r="17" spans="1:14" x14ac:dyDescent="0.3">
      <c r="A17" s="18" t="s">
        <v>124</v>
      </c>
      <c r="B17" s="278" t="s">
        <v>20</v>
      </c>
      <c r="C17" s="279"/>
      <c r="D17" s="279"/>
      <c r="E17" s="279"/>
      <c r="F17" s="279"/>
      <c r="G17" s="279"/>
      <c r="H17" s="279"/>
      <c r="I17" s="279"/>
      <c r="J17" s="279"/>
      <c r="K17" s="279"/>
      <c r="L17" t="s">
        <v>121</v>
      </c>
      <c r="M17" s="260"/>
      <c r="N17" s="260"/>
    </row>
    <row r="18" spans="1:14" x14ac:dyDescent="0.3">
      <c r="A18" s="34"/>
      <c r="B18" s="66" t="s">
        <v>15</v>
      </c>
      <c r="C18" s="260">
        <f>((1.9+46.3+33.5)+(15.9+52.3+17))/100/2</f>
        <v>0.83449999999999991</v>
      </c>
      <c r="D18" s="260">
        <f t="shared" ref="D18:F18" si="2">((1.9+46.3+33.5)+(15.9+52.3+17))/100/2</f>
        <v>0.83449999999999991</v>
      </c>
      <c r="E18" s="260">
        <f t="shared" si="2"/>
        <v>0.83449999999999991</v>
      </c>
      <c r="F18" s="260">
        <f t="shared" si="2"/>
        <v>0.83449999999999991</v>
      </c>
      <c r="G18" s="260">
        <f>((3.9+69.5+15.6)+(22.5+59.2+11.3))/100/2</f>
        <v>0.91</v>
      </c>
      <c r="H18" s="260">
        <f t="shared" ref="H18:K18" si="3">((3.9+69.5+15.6)+(22.5+59.2+11.3))/100/2</f>
        <v>0.91</v>
      </c>
      <c r="I18" s="260">
        <f t="shared" si="3"/>
        <v>0.91</v>
      </c>
      <c r="J18" s="260">
        <f t="shared" si="3"/>
        <v>0.91</v>
      </c>
      <c r="K18" s="260">
        <f t="shared" si="3"/>
        <v>0.91</v>
      </c>
      <c r="L18" t="s">
        <v>122</v>
      </c>
      <c r="M18" s="260"/>
      <c r="N18" s="260"/>
    </row>
    <row r="19" spans="1:14" x14ac:dyDescent="0.3">
      <c r="A19" s="34"/>
      <c r="B19" s="30"/>
      <c r="C19" s="28"/>
      <c r="D19" s="7"/>
      <c r="E19" s="7"/>
      <c r="F19" s="7"/>
      <c r="G19" s="7"/>
      <c r="H19" s="7"/>
      <c r="I19" s="5"/>
      <c r="J19" s="5"/>
      <c r="K19" s="5"/>
    </row>
    <row r="20" spans="1:14" x14ac:dyDescent="0.3">
      <c r="A20" s="3"/>
      <c r="B20" s="3"/>
      <c r="C20" s="285" t="s">
        <v>2</v>
      </c>
      <c r="D20" s="283"/>
      <c r="E20" s="283"/>
      <c r="F20" s="284"/>
      <c r="G20" s="286" t="s">
        <v>3</v>
      </c>
      <c r="H20" s="286"/>
      <c r="I20" s="286"/>
      <c r="J20" s="286"/>
      <c r="K20" s="287"/>
      <c r="M20" s="6"/>
    </row>
    <row r="21" spans="1:14" x14ac:dyDescent="0.3">
      <c r="A21" s="42" t="s">
        <v>50</v>
      </c>
      <c r="B21" s="50" t="s">
        <v>56</v>
      </c>
      <c r="C21" s="9" t="s">
        <v>51</v>
      </c>
      <c r="D21" s="10" t="s">
        <v>52</v>
      </c>
      <c r="E21" s="10" t="s">
        <v>53</v>
      </c>
      <c r="F21" s="11" t="s">
        <v>54</v>
      </c>
      <c r="G21" s="10" t="s">
        <v>51</v>
      </c>
      <c r="H21" s="10" t="s">
        <v>52</v>
      </c>
      <c r="I21" s="10" t="s">
        <v>53</v>
      </c>
      <c r="J21" s="10" t="s">
        <v>54</v>
      </c>
      <c r="K21" s="11" t="s">
        <v>55</v>
      </c>
      <c r="M21" s="6"/>
    </row>
    <row r="22" spans="1:14" x14ac:dyDescent="0.3">
      <c r="A22" s="53" t="s">
        <v>80</v>
      </c>
      <c r="B22" s="78" t="s">
        <v>14</v>
      </c>
      <c r="C22" s="59">
        <f>AVERAGE(C9,C16)</f>
        <v>0.85524999999999995</v>
      </c>
      <c r="D22" s="59">
        <f t="shared" ref="D22:K22" si="4">AVERAGE(D9,D16)</f>
        <v>0.85524999999999995</v>
      </c>
      <c r="E22" s="59">
        <f t="shared" si="4"/>
        <v>0.85524999999999995</v>
      </c>
      <c r="F22" s="59">
        <f t="shared" si="4"/>
        <v>0.85524999999999995</v>
      </c>
      <c r="G22" s="59">
        <f t="shared" si="4"/>
        <v>0.871</v>
      </c>
      <c r="H22" s="59">
        <f t="shared" si="4"/>
        <v>0.871</v>
      </c>
      <c r="I22" s="59">
        <f t="shared" si="4"/>
        <v>0.871</v>
      </c>
      <c r="J22" s="59">
        <f t="shared" si="4"/>
        <v>0.871</v>
      </c>
      <c r="K22" s="58">
        <f t="shared" si="4"/>
        <v>0.871</v>
      </c>
      <c r="L22" t="s">
        <v>91</v>
      </c>
      <c r="M22" s="6"/>
    </row>
    <row r="23" spans="1:14" x14ac:dyDescent="0.3">
      <c r="A23" s="54"/>
      <c r="B23" s="258" t="s">
        <v>22</v>
      </c>
      <c r="C23" s="59">
        <f t="shared" ref="C23:D23" si="5">C6</f>
        <v>0.38600000000000001</v>
      </c>
      <c r="D23" s="59">
        <f t="shared" si="5"/>
        <v>0.38600000000000001</v>
      </c>
      <c r="E23" s="12"/>
      <c r="F23" s="12"/>
      <c r="G23" s="59">
        <f>G6</f>
        <v>0.38600000000000001</v>
      </c>
      <c r="H23" s="59">
        <f>H6</f>
        <v>0.38600000000000001</v>
      </c>
      <c r="I23" s="12"/>
      <c r="J23" s="12"/>
      <c r="K23" s="13"/>
      <c r="L23" s="282" t="s">
        <v>95</v>
      </c>
      <c r="M23" s="6"/>
    </row>
    <row r="24" spans="1:14" x14ac:dyDescent="0.3">
      <c r="A24" s="54"/>
      <c r="B24" s="258" t="s">
        <v>23</v>
      </c>
      <c r="C24" s="59">
        <f>C8</f>
        <v>0.34799999999999998</v>
      </c>
      <c r="D24" s="59">
        <f t="shared" ref="D24:J24" si="6">D8</f>
        <v>0.34799999999999998</v>
      </c>
      <c r="E24" s="59">
        <f t="shared" si="6"/>
        <v>0.34799999999999998</v>
      </c>
      <c r="F24" s="59">
        <f t="shared" si="6"/>
        <v>0.34799999999999998</v>
      </c>
      <c r="G24" s="59">
        <f t="shared" si="6"/>
        <v>0.34799999999999998</v>
      </c>
      <c r="H24" s="59">
        <f t="shared" si="6"/>
        <v>0.34799999999999998</v>
      </c>
      <c r="I24" s="59">
        <f t="shared" si="6"/>
        <v>0.34799999999999998</v>
      </c>
      <c r="J24" s="59">
        <f t="shared" si="6"/>
        <v>0.34799999999999998</v>
      </c>
      <c r="K24" s="13"/>
      <c r="L24" s="282"/>
      <c r="M24" s="6"/>
    </row>
    <row r="25" spans="1:14" x14ac:dyDescent="0.3">
      <c r="A25" s="54"/>
      <c r="B25" s="259" t="s">
        <v>24</v>
      </c>
      <c r="C25" s="59">
        <f>C7</f>
        <v>0.60099999999999998</v>
      </c>
      <c r="D25" s="59">
        <f t="shared" ref="D25:J25" si="7">D7</f>
        <v>0.60099999999999998</v>
      </c>
      <c r="E25" s="59">
        <f t="shared" si="7"/>
        <v>0.60099999999999998</v>
      </c>
      <c r="F25" s="59">
        <f t="shared" si="7"/>
        <v>0.60099999999999998</v>
      </c>
      <c r="G25" s="59">
        <f t="shared" si="7"/>
        <v>0.60099999999999998</v>
      </c>
      <c r="H25" s="59">
        <f t="shared" si="7"/>
        <v>0.60099999999999998</v>
      </c>
      <c r="I25" s="59">
        <f t="shared" si="7"/>
        <v>0.60099999999999998</v>
      </c>
      <c r="J25" s="59">
        <f t="shared" si="7"/>
        <v>0.60099999999999998</v>
      </c>
      <c r="K25" s="13"/>
      <c r="L25" s="282"/>
      <c r="M25" s="6"/>
    </row>
    <row r="26" spans="1:14" x14ac:dyDescent="0.3">
      <c r="A26" s="53" t="s">
        <v>81</v>
      </c>
      <c r="B26" s="254" t="s">
        <v>15</v>
      </c>
      <c r="C26" s="63">
        <f>AVERAGE(C12,C18)</f>
        <v>0.91074999999999995</v>
      </c>
      <c r="D26" s="57">
        <f t="shared" ref="D26:K26" si="8">AVERAGE(D12,D18)</f>
        <v>0.91074999999999995</v>
      </c>
      <c r="E26" s="57">
        <f t="shared" si="8"/>
        <v>0.91074999999999995</v>
      </c>
      <c r="F26" s="57">
        <f t="shared" si="8"/>
        <v>0.91074999999999995</v>
      </c>
      <c r="G26" s="57">
        <f t="shared" si="8"/>
        <v>0.94850000000000001</v>
      </c>
      <c r="H26" s="57">
        <f t="shared" si="8"/>
        <v>0.94850000000000001</v>
      </c>
      <c r="I26" s="57">
        <f t="shared" si="8"/>
        <v>0.94850000000000001</v>
      </c>
      <c r="J26" s="57">
        <f t="shared" si="8"/>
        <v>0.94850000000000001</v>
      </c>
      <c r="K26" s="58">
        <f t="shared" si="8"/>
        <v>0.94850000000000001</v>
      </c>
      <c r="L26" t="s">
        <v>90</v>
      </c>
      <c r="M26" s="6"/>
    </row>
    <row r="27" spans="1:14" x14ac:dyDescent="0.3">
      <c r="A27" s="55"/>
      <c r="B27" s="66" t="s">
        <v>25</v>
      </c>
      <c r="C27" s="64">
        <f>C13</f>
        <v>0.94699999999999995</v>
      </c>
      <c r="D27" s="59">
        <f t="shared" ref="D27:I27" si="9">D13</f>
        <v>0.94699999999999995</v>
      </c>
      <c r="E27" s="59">
        <f t="shared" si="9"/>
        <v>0.94699999999999995</v>
      </c>
      <c r="F27" s="12"/>
      <c r="G27" s="59">
        <f>G13</f>
        <v>0.94699999999999995</v>
      </c>
      <c r="H27" s="59">
        <f t="shared" si="9"/>
        <v>0.94699999999999995</v>
      </c>
      <c r="I27" s="59">
        <f t="shared" si="9"/>
        <v>0.94699999999999995</v>
      </c>
      <c r="J27" s="12"/>
      <c r="K27" s="13"/>
      <c r="L27" t="s">
        <v>90</v>
      </c>
      <c r="M27" s="6"/>
    </row>
    <row r="28" spans="1:14" x14ac:dyDescent="0.3">
      <c r="A28" s="55"/>
      <c r="B28" s="66" t="s">
        <v>71</v>
      </c>
      <c r="C28" s="64">
        <f>C27</f>
        <v>0.94699999999999995</v>
      </c>
      <c r="D28" s="59">
        <f t="shared" ref="D28:I28" si="10">D27</f>
        <v>0.94699999999999995</v>
      </c>
      <c r="E28" s="59">
        <f t="shared" si="10"/>
        <v>0.94699999999999995</v>
      </c>
      <c r="F28" s="12"/>
      <c r="G28" s="59">
        <f t="shared" si="10"/>
        <v>0.94699999999999995</v>
      </c>
      <c r="H28" s="59">
        <f t="shared" si="10"/>
        <v>0.94699999999999995</v>
      </c>
      <c r="I28" s="59">
        <f t="shared" si="10"/>
        <v>0.94699999999999995</v>
      </c>
      <c r="J28" s="12"/>
      <c r="K28" s="13"/>
      <c r="L28" t="s">
        <v>60</v>
      </c>
      <c r="M28" s="6"/>
    </row>
    <row r="29" spans="1:14" x14ac:dyDescent="0.3">
      <c r="A29" s="55"/>
      <c r="B29" s="66" t="s">
        <v>36</v>
      </c>
      <c r="C29" s="64">
        <f t="shared" ref="C29:G29" si="11">C10</f>
        <v>0.95499999999999996</v>
      </c>
      <c r="D29" s="59">
        <f t="shared" si="11"/>
        <v>0.95499999999999996</v>
      </c>
      <c r="E29" s="59">
        <f t="shared" si="11"/>
        <v>0.95499999999999996</v>
      </c>
      <c r="F29" s="59">
        <f t="shared" si="11"/>
        <v>0.95499999999999996</v>
      </c>
      <c r="G29" s="59">
        <f t="shared" si="11"/>
        <v>0.95499999999999996</v>
      </c>
      <c r="H29" s="59">
        <f>H10</f>
        <v>0.95499999999999996</v>
      </c>
      <c r="I29" s="59">
        <f>I10</f>
        <v>0.95499999999999996</v>
      </c>
      <c r="J29" s="59">
        <f>J10</f>
        <v>0.95499999999999996</v>
      </c>
      <c r="K29" s="60">
        <f>K10</f>
        <v>0.95499999999999996</v>
      </c>
      <c r="L29" t="s">
        <v>90</v>
      </c>
      <c r="M29" s="6"/>
    </row>
    <row r="30" spans="1:14" x14ac:dyDescent="0.3">
      <c r="A30" s="55"/>
      <c r="B30" s="66" t="s">
        <v>37</v>
      </c>
      <c r="C30" s="64">
        <f t="shared" ref="C30:H30" si="12">C11</f>
        <v>0.93100000000000005</v>
      </c>
      <c r="D30" s="59">
        <f t="shared" si="12"/>
        <v>0.93100000000000005</v>
      </c>
      <c r="E30" s="59">
        <f t="shared" si="12"/>
        <v>0.93100000000000005</v>
      </c>
      <c r="F30" s="59">
        <f t="shared" si="12"/>
        <v>0.93100000000000005</v>
      </c>
      <c r="G30" s="59">
        <f t="shared" si="12"/>
        <v>0.93100000000000005</v>
      </c>
      <c r="H30" s="59">
        <f t="shared" si="12"/>
        <v>0.93100000000000005</v>
      </c>
      <c r="I30" s="59">
        <f>I11</f>
        <v>0.93100000000000005</v>
      </c>
      <c r="J30" s="59">
        <f>J11</f>
        <v>0.93100000000000005</v>
      </c>
      <c r="K30" s="60">
        <f>K11</f>
        <v>0.93100000000000005</v>
      </c>
      <c r="L30" t="s">
        <v>90</v>
      </c>
      <c r="M30" s="6"/>
    </row>
    <row r="31" spans="1:14" ht="14.55" customHeight="1" x14ac:dyDescent="0.3">
      <c r="A31" s="56"/>
      <c r="B31" s="255" t="s">
        <v>38</v>
      </c>
      <c r="C31" s="65">
        <f t="shared" ref="C31:H31" si="13">C14</f>
        <v>0.99199999999999999</v>
      </c>
      <c r="D31" s="61">
        <f t="shared" si="13"/>
        <v>0.99199999999999999</v>
      </c>
      <c r="E31" s="61">
        <f t="shared" si="13"/>
        <v>0.99199999999999999</v>
      </c>
      <c r="F31" s="61">
        <f t="shared" si="13"/>
        <v>0.99199999999999999</v>
      </c>
      <c r="G31" s="61">
        <f t="shared" si="13"/>
        <v>0.99199999999999999</v>
      </c>
      <c r="H31" s="61">
        <f t="shared" si="13"/>
        <v>0.99199999999999999</v>
      </c>
      <c r="I31" s="61">
        <f>I14</f>
        <v>0.99199999999999999</v>
      </c>
      <c r="J31" s="61">
        <f>J14</f>
        <v>0.99199999999999999</v>
      </c>
      <c r="K31" s="62">
        <f>K14</f>
        <v>0.99199999999999999</v>
      </c>
      <c r="L31" s="3" t="s">
        <v>88</v>
      </c>
      <c r="M31" s="6"/>
    </row>
    <row r="32" spans="1:14" ht="14.55" customHeight="1" x14ac:dyDescent="0.3">
      <c r="A32" s="35"/>
      <c r="B32" s="30"/>
      <c r="C32" s="20"/>
      <c r="D32" s="20"/>
      <c r="E32" s="20"/>
      <c r="F32" s="20"/>
      <c r="G32" s="20"/>
      <c r="H32" s="20"/>
      <c r="I32" s="20"/>
      <c r="J32" s="20"/>
      <c r="K32" s="20"/>
      <c r="L32" s="68"/>
      <c r="M32" s="6"/>
    </row>
  </sheetData>
  <mergeCells count="8">
    <mergeCell ref="L23:L25"/>
    <mergeCell ref="L6:L8"/>
    <mergeCell ref="C2:F2"/>
    <mergeCell ref="G2:K2"/>
    <mergeCell ref="C4:F4"/>
    <mergeCell ref="G4:K4"/>
    <mergeCell ref="C20:F20"/>
    <mergeCell ref="G20:K2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69"/>
  <sheetViews>
    <sheetView zoomScale="80" zoomScaleNormal="80" workbookViewId="0">
      <selection activeCell="W17" sqref="W17"/>
    </sheetView>
  </sheetViews>
  <sheetFormatPr defaultColWidth="8.77734375" defaultRowHeight="14.4" x14ac:dyDescent="0.3"/>
  <cols>
    <col min="1" max="1" width="3.77734375" style="113" customWidth="1"/>
    <col min="2" max="2" width="2.77734375" style="101" customWidth="1"/>
    <col min="3" max="3" width="45.77734375" style="101" bestFit="1" customWidth="1"/>
    <col min="4" max="12" width="10.77734375" style="101" customWidth="1"/>
    <col min="13" max="13" width="18" style="101" customWidth="1"/>
    <col min="14" max="14" width="18.21875" style="101" customWidth="1"/>
    <col min="15" max="24" width="8.77734375" style="101"/>
    <col min="25" max="25" width="14.5546875" style="101" bestFit="1" customWidth="1"/>
    <col min="26" max="16384" width="8.77734375" style="101"/>
  </cols>
  <sheetData>
    <row r="1" spans="1:25" ht="15" thickBot="1" x14ac:dyDescent="0.35">
      <c r="A1" s="98"/>
      <c r="B1" s="99"/>
      <c r="C1" s="99"/>
      <c r="D1" s="99"/>
      <c r="E1" s="99"/>
      <c r="F1" s="99"/>
      <c r="G1" s="99"/>
      <c r="H1" s="99"/>
      <c r="I1" s="99"/>
      <c r="J1" s="99"/>
      <c r="K1" s="99"/>
      <c r="L1" s="99"/>
      <c r="M1" s="99"/>
      <c r="N1" s="99"/>
      <c r="O1" s="99"/>
      <c r="P1" s="99"/>
      <c r="Q1" s="99"/>
      <c r="R1" s="99"/>
      <c r="S1" s="99"/>
      <c r="T1" s="99"/>
      <c r="U1" s="99"/>
      <c r="V1" s="99"/>
      <c r="W1" s="99"/>
      <c r="X1" s="100"/>
    </row>
    <row r="2" spans="1:25" ht="16.8" thickBot="1" x14ac:dyDescent="0.35">
      <c r="A2" s="102"/>
      <c r="B2" s="103"/>
      <c r="C2" s="293" t="s">
        <v>92</v>
      </c>
      <c r="D2" s="294"/>
      <c r="E2" s="294"/>
      <c r="F2" s="294"/>
      <c r="G2" s="294"/>
      <c r="H2" s="294"/>
      <c r="I2" s="294"/>
      <c r="J2" s="294"/>
      <c r="K2" s="294"/>
      <c r="L2" s="294"/>
      <c r="M2" s="294"/>
      <c r="N2" s="294"/>
      <c r="O2" s="294"/>
      <c r="P2" s="294"/>
      <c r="Q2" s="294"/>
      <c r="R2" s="294"/>
      <c r="S2" s="294"/>
      <c r="T2" s="295"/>
      <c r="U2" s="103"/>
      <c r="V2" s="103"/>
      <c r="W2" s="103"/>
      <c r="X2" s="104"/>
    </row>
    <row r="3" spans="1:25" ht="15" customHeight="1" x14ac:dyDescent="0.3">
      <c r="A3" s="102"/>
      <c r="B3" s="103"/>
      <c r="C3" s="250"/>
      <c r="D3" s="296" t="s">
        <v>2</v>
      </c>
      <c r="E3" s="297"/>
      <c r="F3" s="297"/>
      <c r="G3" s="298"/>
      <c r="H3" s="296" t="s">
        <v>3</v>
      </c>
      <c r="I3" s="297"/>
      <c r="J3" s="297"/>
      <c r="K3" s="297"/>
      <c r="L3" s="299"/>
      <c r="M3" s="300" t="s">
        <v>66</v>
      </c>
      <c r="N3" s="300"/>
      <c r="O3" s="300"/>
      <c r="P3" s="300"/>
      <c r="Q3" s="300"/>
      <c r="R3" s="300"/>
      <c r="S3" s="300"/>
      <c r="T3" s="301"/>
      <c r="U3" s="103"/>
      <c r="V3" s="103"/>
      <c r="W3" s="103"/>
      <c r="X3" s="104"/>
    </row>
    <row r="4" spans="1:25" ht="15" thickBot="1" x14ac:dyDescent="0.35">
      <c r="A4" s="102"/>
      <c r="B4" s="103"/>
      <c r="C4" s="249" t="s">
        <v>72</v>
      </c>
      <c r="D4" s="251" t="s">
        <v>51</v>
      </c>
      <c r="E4" s="117" t="s">
        <v>52</v>
      </c>
      <c r="F4" s="117" t="s">
        <v>53</v>
      </c>
      <c r="G4" s="252" t="s">
        <v>54</v>
      </c>
      <c r="H4" s="251" t="s">
        <v>51</v>
      </c>
      <c r="I4" s="117" t="s">
        <v>52</v>
      </c>
      <c r="J4" s="117" t="s">
        <v>53</v>
      </c>
      <c r="K4" s="117" t="s">
        <v>54</v>
      </c>
      <c r="L4" s="118" t="s">
        <v>55</v>
      </c>
      <c r="M4" s="302"/>
      <c r="N4" s="302"/>
      <c r="O4" s="302"/>
      <c r="P4" s="302"/>
      <c r="Q4" s="302"/>
      <c r="R4" s="302"/>
      <c r="S4" s="302"/>
      <c r="T4" s="303"/>
      <c r="U4" s="103"/>
      <c r="V4" s="103"/>
      <c r="W4" s="103"/>
      <c r="X4" s="104"/>
      <c r="Y4" s="105"/>
    </row>
    <row r="5" spans="1:25" x14ac:dyDescent="0.3">
      <c r="A5" s="102"/>
      <c r="B5" s="103"/>
      <c r="C5" s="106" t="s">
        <v>14</v>
      </c>
      <c r="D5" s="107">
        <f>O59</f>
        <v>5.0798316862863118</v>
      </c>
      <c r="E5" s="108">
        <f t="shared" ref="E5:L14" si="0">P59</f>
        <v>12.774974178212831</v>
      </c>
      <c r="F5" s="108">
        <f t="shared" si="0"/>
        <v>20.591823794396877</v>
      </c>
      <c r="G5" s="111">
        <f t="shared" si="0"/>
        <v>26.639557665966652</v>
      </c>
      <c r="H5" s="108">
        <f t="shared" si="0"/>
        <v>4.4102658648288173</v>
      </c>
      <c r="I5" s="108">
        <f t="shared" si="0"/>
        <v>10.378215308157523</v>
      </c>
      <c r="J5" s="108">
        <f t="shared" si="0"/>
        <v>16.671156521687262</v>
      </c>
      <c r="K5" s="108">
        <f t="shared" si="0"/>
        <v>24.471404235279021</v>
      </c>
      <c r="L5" s="109">
        <f t="shared" si="0"/>
        <v>20.643775587256268</v>
      </c>
      <c r="M5" s="291" t="s">
        <v>108</v>
      </c>
      <c r="N5" s="291"/>
      <c r="O5" s="291"/>
      <c r="P5" s="291"/>
      <c r="Q5" s="291"/>
      <c r="R5" s="291"/>
      <c r="S5" s="291"/>
      <c r="T5" s="292"/>
      <c r="U5" s="103"/>
      <c r="V5" s="103"/>
      <c r="W5" s="103"/>
      <c r="X5" s="104"/>
      <c r="Y5" s="105"/>
    </row>
    <row r="6" spans="1:25" x14ac:dyDescent="0.3">
      <c r="A6" s="102"/>
      <c r="B6" s="103"/>
      <c r="C6" s="270" t="s">
        <v>22</v>
      </c>
      <c r="D6" s="236">
        <f t="shared" ref="D6:D13" si="1">O60</f>
        <v>6.2736089036185092</v>
      </c>
      <c r="E6" s="237">
        <f t="shared" si="0"/>
        <v>14.507579067232561</v>
      </c>
      <c r="F6" s="238"/>
      <c r="G6" s="239"/>
      <c r="H6" s="237">
        <f t="shared" si="0"/>
        <v>5.571335952026411</v>
      </c>
      <c r="I6" s="237">
        <f t="shared" si="0"/>
        <v>13.140643334707169</v>
      </c>
      <c r="J6" s="238"/>
      <c r="K6" s="238"/>
      <c r="L6" s="110"/>
      <c r="M6" s="291" t="s">
        <v>109</v>
      </c>
      <c r="N6" s="291"/>
      <c r="O6" s="291"/>
      <c r="P6" s="291"/>
      <c r="Q6" s="291"/>
      <c r="R6" s="291"/>
      <c r="S6" s="291"/>
      <c r="T6" s="292"/>
      <c r="U6" s="103"/>
      <c r="V6" s="103"/>
      <c r="W6" s="103"/>
      <c r="X6" s="104"/>
    </row>
    <row r="7" spans="1:25" x14ac:dyDescent="0.3">
      <c r="A7" s="102"/>
      <c r="B7" s="103"/>
      <c r="C7" s="270" t="s">
        <v>23</v>
      </c>
      <c r="D7" s="236">
        <f t="shared" si="1"/>
        <v>7.6374037385597306</v>
      </c>
      <c r="E7" s="237">
        <f t="shared" si="0"/>
        <v>15.35447290942675</v>
      </c>
      <c r="F7" s="237">
        <f t="shared" si="0"/>
        <v>24.936559287939595</v>
      </c>
      <c r="G7" s="240">
        <f t="shared" si="0"/>
        <v>32.694826235624994</v>
      </c>
      <c r="H7" s="237">
        <f t="shared" si="0"/>
        <v>6.1099229908477861</v>
      </c>
      <c r="I7" s="237">
        <f t="shared" si="0"/>
        <v>13.759319586707001</v>
      </c>
      <c r="J7" s="237">
        <f t="shared" si="0"/>
        <v>22.841700298316255</v>
      </c>
      <c r="K7" s="237">
        <f t="shared" si="0"/>
        <v>30.937262668196539</v>
      </c>
      <c r="L7" s="110"/>
      <c r="M7" s="291" t="s">
        <v>109</v>
      </c>
      <c r="N7" s="291"/>
      <c r="O7" s="291"/>
      <c r="P7" s="291"/>
      <c r="Q7" s="291"/>
      <c r="R7" s="291"/>
      <c r="S7" s="291"/>
      <c r="T7" s="292"/>
      <c r="U7" s="103"/>
      <c r="V7" s="103"/>
      <c r="W7" s="103"/>
      <c r="X7" s="104"/>
    </row>
    <row r="8" spans="1:25" x14ac:dyDescent="0.3">
      <c r="A8" s="102"/>
      <c r="B8" s="103"/>
      <c r="C8" s="270" t="s">
        <v>24</v>
      </c>
      <c r="D8" s="236">
        <f t="shared" si="1"/>
        <v>10.857894805575713</v>
      </c>
      <c r="E8" s="237">
        <f t="shared" si="0"/>
        <v>22.482032850664208</v>
      </c>
      <c r="F8" s="237">
        <f t="shared" si="0"/>
        <v>35.156500547254055</v>
      </c>
      <c r="G8" s="240">
        <f t="shared" si="0"/>
        <v>49.029117978138345</v>
      </c>
      <c r="H8" s="237">
        <f t="shared" si="0"/>
        <v>8.6863158444605695</v>
      </c>
      <c r="I8" s="237">
        <f t="shared" si="0"/>
        <v>20.374959515333433</v>
      </c>
      <c r="J8" s="237">
        <f t="shared" si="0"/>
        <v>32.808293578015288</v>
      </c>
      <c r="K8" s="237">
        <f t="shared" si="0"/>
        <v>49.029117978138345</v>
      </c>
      <c r="L8" s="110"/>
      <c r="M8" s="291" t="s">
        <v>109</v>
      </c>
      <c r="N8" s="291"/>
      <c r="O8" s="291"/>
      <c r="P8" s="291"/>
      <c r="Q8" s="291"/>
      <c r="R8" s="291"/>
      <c r="S8" s="291"/>
      <c r="T8" s="292"/>
      <c r="U8" s="103"/>
      <c r="V8" s="103"/>
      <c r="W8" s="103"/>
      <c r="X8" s="104"/>
    </row>
    <row r="9" spans="1:25" x14ac:dyDescent="0.3">
      <c r="A9" s="102"/>
      <c r="B9" s="103"/>
      <c r="C9" s="112" t="s">
        <v>15</v>
      </c>
      <c r="D9" s="107">
        <f t="shared" si="1"/>
        <v>14.177409523085478</v>
      </c>
      <c r="E9" s="108">
        <f t="shared" si="0"/>
        <v>35.025949960144764</v>
      </c>
      <c r="F9" s="108">
        <f t="shared" si="0"/>
        <v>60.248743035800075</v>
      </c>
      <c r="G9" s="111">
        <f t="shared" si="0"/>
        <v>82.147881504242861</v>
      </c>
      <c r="H9" s="108">
        <f t="shared" si="0"/>
        <v>12.727030333326692</v>
      </c>
      <c r="I9" s="108">
        <f t="shared" si="0"/>
        <v>31.070064541380933</v>
      </c>
      <c r="J9" s="108">
        <f t="shared" si="0"/>
        <v>53.182180299805609</v>
      </c>
      <c r="K9" s="108">
        <f t="shared" si="0"/>
        <v>77.038169079775727</v>
      </c>
      <c r="L9" s="109">
        <f t="shared" si="0"/>
        <v>91.81616544845906</v>
      </c>
      <c r="M9" s="291" t="s">
        <v>107</v>
      </c>
      <c r="N9" s="291"/>
      <c r="O9" s="291"/>
      <c r="P9" s="291"/>
      <c r="Q9" s="291"/>
      <c r="R9" s="291"/>
      <c r="S9" s="291"/>
      <c r="T9" s="292"/>
      <c r="U9" s="103"/>
      <c r="V9" s="103"/>
      <c r="W9" s="103"/>
      <c r="X9" s="104"/>
    </row>
    <row r="10" spans="1:25" x14ac:dyDescent="0.3">
      <c r="A10" s="102"/>
      <c r="B10" s="103"/>
      <c r="C10" s="112" t="s">
        <v>25</v>
      </c>
      <c r="D10" s="107">
        <f t="shared" si="1"/>
        <v>11.292269464875302</v>
      </c>
      <c r="E10" s="108">
        <f t="shared" si="0"/>
        <v>25.07203517021955</v>
      </c>
      <c r="F10" s="108">
        <f t="shared" si="0"/>
        <v>41.094051007817491</v>
      </c>
      <c r="G10" s="90"/>
      <c r="H10" s="108">
        <f t="shared" si="0"/>
        <v>10.485256490029503</v>
      </c>
      <c r="I10" s="108">
        <f t="shared" si="0"/>
        <v>23.281957549987712</v>
      </c>
      <c r="J10" s="108">
        <f t="shared" si="0"/>
        <v>38.47068404400251</v>
      </c>
      <c r="K10" s="89"/>
      <c r="L10" s="110"/>
      <c r="M10" s="291"/>
      <c r="N10" s="291"/>
      <c r="O10" s="291"/>
      <c r="P10" s="291"/>
      <c r="Q10" s="291"/>
      <c r="R10" s="291"/>
      <c r="S10" s="291"/>
      <c r="T10" s="292"/>
      <c r="U10" s="103"/>
      <c r="V10" s="103"/>
      <c r="W10" s="103"/>
      <c r="X10" s="104"/>
    </row>
    <row r="11" spans="1:25" x14ac:dyDescent="0.3">
      <c r="A11" s="102"/>
      <c r="B11" s="103"/>
      <c r="C11" s="271" t="s">
        <v>71</v>
      </c>
      <c r="D11" s="107">
        <f t="shared" si="1"/>
        <v>7.3573832464574416</v>
      </c>
      <c r="E11" s="108">
        <f t="shared" si="0"/>
        <v>14.415507848961752</v>
      </c>
      <c r="F11" s="108">
        <f t="shared" si="0"/>
        <v>16.451926426106223</v>
      </c>
      <c r="G11" s="90"/>
      <c r="H11" s="108">
        <f t="shared" si="0"/>
        <v>6.253775759488823</v>
      </c>
      <c r="I11" s="108">
        <f t="shared" si="0"/>
        <v>12.25318167161749</v>
      </c>
      <c r="J11" s="108">
        <f t="shared" si="0"/>
        <v>13.98413746219029</v>
      </c>
      <c r="K11" s="89"/>
      <c r="L11" s="110"/>
      <c r="M11" s="291"/>
      <c r="N11" s="291"/>
      <c r="O11" s="291"/>
      <c r="P11" s="291"/>
      <c r="Q11" s="291"/>
      <c r="R11" s="291"/>
      <c r="S11" s="291"/>
      <c r="T11" s="292"/>
      <c r="U11" s="103"/>
      <c r="V11" s="103"/>
      <c r="W11" s="103"/>
      <c r="X11" s="104"/>
    </row>
    <row r="12" spans="1:25" x14ac:dyDescent="0.3">
      <c r="A12" s="102"/>
      <c r="B12" s="103"/>
      <c r="C12" s="271" t="s">
        <v>36</v>
      </c>
      <c r="D12" s="107">
        <f>O66</f>
        <v>9.2545002934425007</v>
      </c>
      <c r="E12" s="108">
        <f t="shared" ref="E12:E13" si="2">P66</f>
        <v>22.682598758437496</v>
      </c>
      <c r="F12" s="108">
        <f t="shared" ref="F12:F13" si="3">Q66</f>
        <v>38.5301744243325</v>
      </c>
      <c r="G12" s="111">
        <f t="shared" ref="G12:G13" si="4">R66</f>
        <v>53.893854650047487</v>
      </c>
      <c r="H12" s="108">
        <f t="shared" ref="H12:H13" si="5">S66</f>
        <v>9.2545002934425007</v>
      </c>
      <c r="I12" s="108">
        <f t="shared" ref="I12:I13" si="6">T66</f>
        <v>22.682598758437496</v>
      </c>
      <c r="J12" s="108">
        <f t="shared" si="0"/>
        <v>38.5301744243325</v>
      </c>
      <c r="K12" s="108">
        <f t="shared" si="0"/>
        <v>53.893854650047487</v>
      </c>
      <c r="L12" s="109">
        <f t="shared" si="0"/>
        <v>73.18918532722499</v>
      </c>
      <c r="M12" s="291"/>
      <c r="N12" s="291"/>
      <c r="O12" s="291"/>
      <c r="P12" s="291"/>
      <c r="Q12" s="291"/>
      <c r="R12" s="291"/>
      <c r="S12" s="291"/>
      <c r="T12" s="292"/>
      <c r="U12" s="103"/>
      <c r="V12" s="103"/>
      <c r="W12" s="103"/>
      <c r="X12" s="104"/>
    </row>
    <row r="13" spans="1:25" x14ac:dyDescent="0.3">
      <c r="A13" s="102"/>
      <c r="B13" s="103"/>
      <c r="C13" s="271" t="s">
        <v>37</v>
      </c>
      <c r="D13" s="107">
        <f t="shared" si="1"/>
        <v>10.0833295774995</v>
      </c>
      <c r="E13" s="108">
        <f t="shared" si="2"/>
        <v>25.060906844662505</v>
      </c>
      <c r="F13" s="108">
        <f t="shared" si="3"/>
        <v>43.3406271313575</v>
      </c>
      <c r="G13" s="111">
        <f t="shared" si="4"/>
        <v>57.315768124734007</v>
      </c>
      <c r="H13" s="108">
        <f t="shared" si="5"/>
        <v>10.0833295774995</v>
      </c>
      <c r="I13" s="108">
        <f t="shared" si="6"/>
        <v>25.060906844662505</v>
      </c>
      <c r="J13" s="108">
        <f t="shared" si="0"/>
        <v>43.3406271313575</v>
      </c>
      <c r="K13" s="108">
        <f t="shared" si="0"/>
        <v>57.315768124734007</v>
      </c>
      <c r="L13" s="109">
        <f t="shared" si="0"/>
        <v>71.349875957744985</v>
      </c>
      <c r="M13" s="291"/>
      <c r="N13" s="291"/>
      <c r="O13" s="291"/>
      <c r="P13" s="291"/>
      <c r="Q13" s="291"/>
      <c r="R13" s="291"/>
      <c r="S13" s="291"/>
      <c r="T13" s="292"/>
      <c r="U13" s="103"/>
      <c r="V13" s="103"/>
      <c r="W13" s="103"/>
      <c r="X13" s="104"/>
    </row>
    <row r="14" spans="1:25" x14ac:dyDescent="0.3">
      <c r="A14" s="102"/>
      <c r="B14" s="103"/>
      <c r="C14" s="271" t="s">
        <v>38</v>
      </c>
      <c r="D14" s="236">
        <f>O68</f>
        <v>27.434748844943996</v>
      </c>
      <c r="E14" s="237">
        <f t="shared" si="0"/>
        <v>68.586872112360012</v>
      </c>
      <c r="F14" s="237">
        <f t="shared" si="0"/>
        <v>119.49357274686717</v>
      </c>
      <c r="G14" s="240">
        <f t="shared" si="0"/>
        <v>148.14764376269756</v>
      </c>
      <c r="H14" s="237">
        <f t="shared" si="0"/>
        <v>27.434748844943996</v>
      </c>
      <c r="I14" s="237">
        <f t="shared" si="0"/>
        <v>68.586872112360012</v>
      </c>
      <c r="J14" s="237">
        <f t="shared" si="0"/>
        <v>119.49357274686717</v>
      </c>
      <c r="K14" s="237">
        <f t="shared" si="0"/>
        <v>148.14764376269756</v>
      </c>
      <c r="L14" s="269">
        <f t="shared" si="0"/>
        <v>184.422478346568</v>
      </c>
      <c r="M14" s="291" t="s">
        <v>110</v>
      </c>
      <c r="N14" s="291"/>
      <c r="O14" s="291"/>
      <c r="P14" s="291"/>
      <c r="Q14" s="291"/>
      <c r="R14" s="291"/>
      <c r="S14" s="291"/>
      <c r="T14" s="292"/>
      <c r="U14" s="103"/>
      <c r="V14" s="103"/>
      <c r="W14" s="103"/>
      <c r="X14" s="104"/>
    </row>
    <row r="15" spans="1:25" x14ac:dyDescent="0.3">
      <c r="A15" s="102"/>
      <c r="B15" s="103"/>
      <c r="C15" s="246"/>
      <c r="D15" s="242"/>
      <c r="E15" s="247"/>
      <c r="F15" s="247"/>
      <c r="G15" s="114"/>
      <c r="H15" s="247"/>
      <c r="I15" s="247"/>
      <c r="J15" s="247"/>
      <c r="K15" s="247"/>
      <c r="L15" s="248"/>
      <c r="M15" s="304"/>
      <c r="N15" s="304"/>
      <c r="O15" s="304"/>
      <c r="P15" s="304"/>
      <c r="Q15" s="304"/>
      <c r="R15" s="304"/>
      <c r="S15" s="304"/>
      <c r="T15" s="305"/>
      <c r="U15" s="103"/>
      <c r="V15" s="103"/>
      <c r="W15" s="103"/>
      <c r="X15" s="104"/>
    </row>
    <row r="16" spans="1:25" ht="15" thickBot="1" x14ac:dyDescent="0.35">
      <c r="A16" s="102"/>
      <c r="B16" s="103"/>
      <c r="C16" s="241"/>
      <c r="D16" s="243"/>
      <c r="E16" s="115"/>
      <c r="F16" s="115"/>
      <c r="G16" s="116"/>
      <c r="H16" s="115"/>
      <c r="I16" s="115"/>
      <c r="J16" s="115"/>
      <c r="K16" s="115"/>
      <c r="L16" s="253"/>
      <c r="M16" s="306"/>
      <c r="N16" s="306"/>
      <c r="O16" s="306"/>
      <c r="P16" s="306"/>
      <c r="Q16" s="306"/>
      <c r="R16" s="306"/>
      <c r="S16" s="306"/>
      <c r="T16" s="307"/>
      <c r="U16" s="103"/>
      <c r="V16" s="103"/>
      <c r="W16" s="103"/>
      <c r="X16" s="104"/>
    </row>
    <row r="17" spans="1:48" ht="15" thickBot="1" x14ac:dyDescent="0.35">
      <c r="A17" s="102"/>
      <c r="B17" s="103"/>
      <c r="C17" s="103"/>
      <c r="D17" s="103"/>
      <c r="E17" s="103"/>
      <c r="F17" s="103"/>
      <c r="G17" s="103"/>
      <c r="H17" s="103"/>
      <c r="I17" s="103"/>
      <c r="J17" s="103"/>
      <c r="K17" s="103"/>
      <c r="L17" s="103"/>
      <c r="M17" s="103"/>
      <c r="N17" s="103"/>
      <c r="O17" s="103"/>
      <c r="P17" s="103"/>
      <c r="Q17" s="103"/>
      <c r="R17" s="103"/>
      <c r="S17" s="103"/>
      <c r="T17" s="103"/>
      <c r="U17" s="103"/>
      <c r="V17" s="103"/>
      <c r="W17" s="103"/>
      <c r="X17" s="104"/>
    </row>
    <row r="18" spans="1:48" ht="15" thickBot="1" x14ac:dyDescent="0.35">
      <c r="A18" s="102"/>
      <c r="B18" s="103"/>
      <c r="C18" s="315" t="s">
        <v>102</v>
      </c>
      <c r="D18" s="296" t="s">
        <v>2</v>
      </c>
      <c r="E18" s="297"/>
      <c r="F18" s="297"/>
      <c r="G18" s="298"/>
      <c r="H18" s="297" t="s">
        <v>3</v>
      </c>
      <c r="I18" s="297"/>
      <c r="J18" s="297"/>
      <c r="K18" s="297"/>
      <c r="L18" s="299"/>
      <c r="M18" s="103"/>
      <c r="N18" s="103"/>
      <c r="O18" s="103"/>
      <c r="P18" s="103"/>
      <c r="Q18" s="103"/>
      <c r="R18" s="103"/>
      <c r="S18" s="103"/>
      <c r="T18" s="103"/>
      <c r="U18" s="103"/>
      <c r="V18" s="103"/>
      <c r="W18" s="103"/>
      <c r="X18" s="104"/>
    </row>
    <row r="19" spans="1:48" x14ac:dyDescent="0.3">
      <c r="A19" s="102"/>
      <c r="B19" s="103"/>
      <c r="C19" s="316"/>
      <c r="D19" s="251" t="s">
        <v>51</v>
      </c>
      <c r="E19" s="117" t="s">
        <v>52</v>
      </c>
      <c r="F19" s="117" t="s">
        <v>53</v>
      </c>
      <c r="G19" s="252" t="s">
        <v>54</v>
      </c>
      <c r="H19" s="251" t="s">
        <v>51</v>
      </c>
      <c r="I19" s="117" t="s">
        <v>52</v>
      </c>
      <c r="J19" s="117" t="s">
        <v>53</v>
      </c>
      <c r="K19" s="117" t="s">
        <v>54</v>
      </c>
      <c r="L19" s="118" t="s">
        <v>55</v>
      </c>
      <c r="M19" s="119"/>
      <c r="N19" s="120"/>
      <c r="O19" s="121"/>
      <c r="P19" s="121"/>
      <c r="Q19" s="121"/>
      <c r="R19" s="121"/>
      <c r="S19" s="121"/>
      <c r="T19" s="121"/>
      <c r="U19" s="121"/>
      <c r="V19" s="121"/>
      <c r="W19" s="122"/>
      <c r="X19" s="104"/>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row>
    <row r="20" spans="1:48" ht="15" thickBot="1" x14ac:dyDescent="0.35">
      <c r="A20" s="123"/>
      <c r="B20" s="310"/>
      <c r="C20" s="124" t="s">
        <v>14</v>
      </c>
      <c r="D20" s="87">
        <f>'Proportion of bites on turf'!C22</f>
        <v>0.85524999999999995</v>
      </c>
      <c r="E20" s="87">
        <f>'Proportion of bites on turf'!D22</f>
        <v>0.85524999999999995</v>
      </c>
      <c r="F20" s="87">
        <f>'Proportion of bites on turf'!E22</f>
        <v>0.85524999999999995</v>
      </c>
      <c r="G20" s="88">
        <f>'Proportion of bites on turf'!F22</f>
        <v>0.85524999999999995</v>
      </c>
      <c r="H20" s="87">
        <f>'Proportion of bites on turf'!G22</f>
        <v>0.871</v>
      </c>
      <c r="I20" s="87">
        <f>'Proportion of bites on turf'!H22</f>
        <v>0.871</v>
      </c>
      <c r="J20" s="87">
        <f>'Proportion of bites on turf'!I22</f>
        <v>0.871</v>
      </c>
      <c r="K20" s="87">
        <f>'Proportion of bites on turf'!J22</f>
        <v>0.871</v>
      </c>
      <c r="L20" s="125">
        <f>'Proportion of bites on turf'!K22</f>
        <v>0.871</v>
      </c>
      <c r="M20" s="119"/>
      <c r="N20" s="126" t="s">
        <v>67</v>
      </c>
      <c r="O20" s="127"/>
      <c r="P20" s="127"/>
      <c r="Q20" s="127"/>
      <c r="R20" s="127"/>
      <c r="S20" s="127"/>
      <c r="T20" s="127"/>
      <c r="U20" s="127"/>
      <c r="V20" s="127"/>
      <c r="W20" s="128"/>
      <c r="X20" s="104"/>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row>
    <row r="21" spans="1:48" x14ac:dyDescent="0.3">
      <c r="A21" s="123"/>
      <c r="B21" s="310"/>
      <c r="C21" s="129" t="s">
        <v>22</v>
      </c>
      <c r="D21" s="87">
        <f>'Proportion of bites on turf'!C23</f>
        <v>0.38600000000000001</v>
      </c>
      <c r="E21" s="87">
        <f>'Proportion of bites on turf'!D23</f>
        <v>0.38600000000000001</v>
      </c>
      <c r="F21" s="89"/>
      <c r="G21" s="90"/>
      <c r="H21" s="87">
        <f>'Proportion of bites on turf'!G23</f>
        <v>0.38600000000000001</v>
      </c>
      <c r="I21" s="87">
        <f>'Proportion of bites on turf'!H23</f>
        <v>0.38600000000000001</v>
      </c>
      <c r="J21" s="89"/>
      <c r="K21" s="89"/>
      <c r="L21" s="110"/>
      <c r="M21" s="119"/>
      <c r="N21" s="103"/>
      <c r="O21" s="119"/>
      <c r="P21" s="119"/>
      <c r="Q21" s="103"/>
      <c r="R21" s="103"/>
      <c r="S21" s="103"/>
      <c r="T21" s="103"/>
      <c r="U21" s="103"/>
      <c r="V21" s="103"/>
      <c r="W21" s="103"/>
      <c r="X21" s="104"/>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row>
    <row r="22" spans="1:48" x14ac:dyDescent="0.3">
      <c r="A22" s="308"/>
      <c r="B22" s="310"/>
      <c r="C22" s="129" t="s">
        <v>23</v>
      </c>
      <c r="D22" s="87">
        <f>'Proportion of bites on turf'!C24</f>
        <v>0.34799999999999998</v>
      </c>
      <c r="E22" s="87">
        <f>'Proportion of bites on turf'!D24</f>
        <v>0.34799999999999998</v>
      </c>
      <c r="F22" s="87">
        <f>'Proportion of bites on turf'!E24</f>
        <v>0.34799999999999998</v>
      </c>
      <c r="G22" s="91">
        <f>'Proportion of bites on turf'!F24</f>
        <v>0.34799999999999998</v>
      </c>
      <c r="H22" s="87">
        <f>'Proportion of bites on turf'!G24</f>
        <v>0.34799999999999998</v>
      </c>
      <c r="I22" s="87">
        <f>'Proportion of bites on turf'!H24</f>
        <v>0.34799999999999998</v>
      </c>
      <c r="J22" s="87">
        <f>'Proportion of bites on turf'!I24</f>
        <v>0.34799999999999998</v>
      </c>
      <c r="K22" s="87">
        <f>'Proportion of bites on turf'!J24</f>
        <v>0.34799999999999998</v>
      </c>
      <c r="L22" s="110"/>
      <c r="M22" s="103"/>
      <c r="N22" s="103"/>
      <c r="O22" s="103"/>
      <c r="P22" s="103"/>
      <c r="Q22" s="103"/>
      <c r="R22" s="103"/>
      <c r="S22" s="103"/>
      <c r="T22" s="103"/>
      <c r="U22" s="103"/>
      <c r="V22" s="103"/>
      <c r="W22" s="103"/>
      <c r="X22" s="104"/>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row>
    <row r="23" spans="1:48" x14ac:dyDescent="0.3">
      <c r="A23" s="308"/>
      <c r="B23" s="310"/>
      <c r="C23" s="130" t="s">
        <v>24</v>
      </c>
      <c r="D23" s="87">
        <f>'Proportion of bites on turf'!C25</f>
        <v>0.60099999999999998</v>
      </c>
      <c r="E23" s="87">
        <f>'Proportion of bites on turf'!D25</f>
        <v>0.60099999999999998</v>
      </c>
      <c r="F23" s="87">
        <f>'Proportion of bites on turf'!E25</f>
        <v>0.60099999999999998</v>
      </c>
      <c r="G23" s="91">
        <f>'Proportion of bites on turf'!F25</f>
        <v>0.60099999999999998</v>
      </c>
      <c r="H23" s="87">
        <f>'Proportion of bites on turf'!G25</f>
        <v>0.60099999999999998</v>
      </c>
      <c r="I23" s="87">
        <f>'Proportion of bites on turf'!H25</f>
        <v>0.60099999999999998</v>
      </c>
      <c r="J23" s="87">
        <f>'Proportion of bites on turf'!I25</f>
        <v>0.60099999999999998</v>
      </c>
      <c r="K23" s="87">
        <f>'Proportion of bites on turf'!J25</f>
        <v>0.60099999999999998</v>
      </c>
      <c r="L23" s="110"/>
      <c r="M23" s="103"/>
      <c r="N23" s="103"/>
      <c r="O23" s="103"/>
      <c r="P23" s="103"/>
      <c r="Q23" s="103"/>
      <c r="R23" s="103"/>
      <c r="S23" s="103"/>
      <c r="T23" s="103"/>
      <c r="U23" s="103"/>
      <c r="V23" s="103"/>
      <c r="W23" s="103"/>
      <c r="X23" s="104"/>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row>
    <row r="24" spans="1:48" ht="15.75" customHeight="1" x14ac:dyDescent="0.3">
      <c r="A24" s="308"/>
      <c r="B24" s="131"/>
      <c r="C24" s="132" t="s">
        <v>15</v>
      </c>
      <c r="D24" s="92">
        <f>'Proportion of bites on turf'!C26</f>
        <v>0.91074999999999995</v>
      </c>
      <c r="E24" s="93">
        <f>'Proportion of bites on turf'!D26</f>
        <v>0.91074999999999995</v>
      </c>
      <c r="F24" s="93">
        <f>'Proportion of bites on turf'!E26</f>
        <v>0.91074999999999995</v>
      </c>
      <c r="G24" s="88">
        <f>'Proportion of bites on turf'!F26</f>
        <v>0.91074999999999995</v>
      </c>
      <c r="H24" s="93">
        <f>'Proportion of bites on turf'!G26</f>
        <v>0.94850000000000001</v>
      </c>
      <c r="I24" s="93">
        <f>'Proportion of bites on turf'!H26</f>
        <v>0.94850000000000001</v>
      </c>
      <c r="J24" s="93">
        <f>'Proportion of bites on turf'!I26</f>
        <v>0.94850000000000001</v>
      </c>
      <c r="K24" s="93">
        <f>'Proportion of bites on turf'!J26</f>
        <v>0.94850000000000001</v>
      </c>
      <c r="L24" s="125">
        <f>'Proportion of bites on turf'!K26</f>
        <v>0.94850000000000001</v>
      </c>
      <c r="M24" s="133"/>
      <c r="N24" s="133"/>
      <c r="O24" s="103"/>
      <c r="P24" s="103"/>
      <c r="Q24" s="103"/>
      <c r="R24" s="103"/>
      <c r="S24" s="103"/>
      <c r="T24" s="133"/>
      <c r="U24" s="103"/>
      <c r="V24" s="103"/>
      <c r="W24" s="103"/>
      <c r="X24" s="104"/>
      <c r="Y24" s="113"/>
      <c r="Z24" s="113"/>
      <c r="AA24" s="113"/>
      <c r="AB24" s="113"/>
      <c r="AC24" s="113"/>
      <c r="AD24" s="113"/>
      <c r="AE24" s="113"/>
      <c r="AF24" s="113"/>
      <c r="AG24" s="113"/>
      <c r="AH24" s="113"/>
      <c r="AI24" s="113"/>
      <c r="AJ24" s="309"/>
      <c r="AK24" s="309"/>
      <c r="AL24" s="309"/>
      <c r="AM24" s="309"/>
      <c r="AN24" s="309"/>
      <c r="AO24" s="309"/>
      <c r="AP24" s="309"/>
      <c r="AQ24" s="113"/>
      <c r="AR24" s="113"/>
      <c r="AS24" s="113"/>
      <c r="AT24" s="113"/>
      <c r="AU24" s="113"/>
      <c r="AV24" s="113"/>
    </row>
    <row r="25" spans="1:48" x14ac:dyDescent="0.3">
      <c r="A25" s="308"/>
      <c r="B25" s="131"/>
      <c r="C25" s="134" t="s">
        <v>25</v>
      </c>
      <c r="D25" s="94">
        <f>'Proportion of bites on turf'!C27</f>
        <v>0.94699999999999995</v>
      </c>
      <c r="E25" s="87">
        <f>'Proportion of bites on turf'!D27</f>
        <v>0.94699999999999995</v>
      </c>
      <c r="F25" s="87">
        <f>'Proportion of bites on turf'!E27</f>
        <v>0.94699999999999995</v>
      </c>
      <c r="G25" s="90"/>
      <c r="H25" s="87">
        <f>'Proportion of bites on turf'!G27</f>
        <v>0.94699999999999995</v>
      </c>
      <c r="I25" s="87">
        <f>'Proportion of bites on turf'!H27</f>
        <v>0.94699999999999995</v>
      </c>
      <c r="J25" s="87">
        <f>'Proportion of bites on turf'!I27</f>
        <v>0.94699999999999995</v>
      </c>
      <c r="K25" s="89"/>
      <c r="L25" s="110"/>
      <c r="M25" s="135"/>
      <c r="N25" s="135"/>
      <c r="O25" s="103"/>
      <c r="P25" s="103"/>
      <c r="Q25" s="103"/>
      <c r="R25" s="103"/>
      <c r="S25" s="103"/>
      <c r="T25" s="136"/>
      <c r="U25" s="103"/>
      <c r="V25" s="136"/>
      <c r="W25" s="137"/>
      <c r="X25" s="138"/>
      <c r="Y25" s="139"/>
      <c r="Z25" s="309"/>
      <c r="AA25" s="309"/>
      <c r="AB25" s="309"/>
      <c r="AC25" s="309"/>
      <c r="AD25" s="309"/>
      <c r="AE25" s="309"/>
      <c r="AF25" s="309"/>
      <c r="AG25" s="113"/>
      <c r="AH25" s="113"/>
      <c r="AI25" s="113"/>
      <c r="AJ25" s="140"/>
      <c r="AK25" s="139"/>
      <c r="AL25" s="139"/>
      <c r="AM25" s="139"/>
      <c r="AN25" s="139"/>
      <c r="AO25" s="139"/>
      <c r="AP25" s="139"/>
      <c r="AQ25" s="113"/>
      <c r="AR25" s="139"/>
      <c r="AS25" s="141"/>
      <c r="AT25" s="139"/>
      <c r="AU25" s="139"/>
      <c r="AV25" s="113"/>
    </row>
    <row r="26" spans="1:48" x14ac:dyDescent="0.3">
      <c r="A26" s="308"/>
      <c r="B26" s="310"/>
      <c r="C26" s="134" t="s">
        <v>71</v>
      </c>
      <c r="D26" s="94">
        <f>'Proportion of bites on turf'!C28</f>
        <v>0.94699999999999995</v>
      </c>
      <c r="E26" s="87">
        <f>'Proportion of bites on turf'!D28</f>
        <v>0.94699999999999995</v>
      </c>
      <c r="F26" s="87">
        <f>'Proportion of bites on turf'!E28</f>
        <v>0.94699999999999995</v>
      </c>
      <c r="G26" s="90"/>
      <c r="H26" s="87">
        <f>'Proportion of bites on turf'!G28</f>
        <v>0.94699999999999995</v>
      </c>
      <c r="I26" s="87">
        <f>'Proportion of bites on turf'!H28</f>
        <v>0.94699999999999995</v>
      </c>
      <c r="J26" s="87">
        <f>'Proportion of bites on turf'!I28</f>
        <v>0.94699999999999995</v>
      </c>
      <c r="K26" s="89"/>
      <c r="L26" s="110"/>
      <c r="M26" s="142"/>
      <c r="N26" s="142"/>
      <c r="O26" s="103"/>
      <c r="P26" s="103"/>
      <c r="Q26" s="103"/>
      <c r="R26" s="103"/>
      <c r="S26" s="103"/>
      <c r="T26" s="103"/>
      <c r="U26" s="143"/>
      <c r="V26" s="143"/>
      <c r="W26" s="143"/>
      <c r="X26" s="144"/>
      <c r="Y26" s="113"/>
      <c r="Z26" s="140"/>
      <c r="AA26" s="139"/>
      <c r="AB26" s="139"/>
      <c r="AC26" s="139"/>
      <c r="AD26" s="139"/>
      <c r="AE26" s="139"/>
      <c r="AF26" s="113"/>
      <c r="AG26" s="113"/>
      <c r="AH26" s="113"/>
      <c r="AI26" s="140"/>
      <c r="AJ26" s="145"/>
      <c r="AK26" s="145"/>
      <c r="AL26" s="145"/>
      <c r="AM26" s="145"/>
      <c r="AN26" s="145"/>
      <c r="AO26" s="145"/>
      <c r="AP26" s="113"/>
      <c r="AQ26" s="146"/>
      <c r="AR26" s="146"/>
      <c r="AS26" s="146"/>
      <c r="AT26" s="146"/>
      <c r="AU26" s="146"/>
      <c r="AV26" s="113"/>
    </row>
    <row r="27" spans="1:48" ht="15" thickBot="1" x14ac:dyDescent="0.35">
      <c r="A27" s="123"/>
      <c r="B27" s="310"/>
      <c r="C27" s="134" t="s">
        <v>36</v>
      </c>
      <c r="D27" s="94">
        <f>'Proportion of bites on turf'!C29</f>
        <v>0.95499999999999996</v>
      </c>
      <c r="E27" s="87">
        <f>'Proportion of bites on turf'!D29</f>
        <v>0.95499999999999996</v>
      </c>
      <c r="F27" s="87">
        <f>'Proportion of bites on turf'!E29</f>
        <v>0.95499999999999996</v>
      </c>
      <c r="G27" s="91">
        <f>'Proportion of bites on turf'!F29</f>
        <v>0.95499999999999996</v>
      </c>
      <c r="H27" s="87">
        <f>'Proportion of bites on turf'!G29</f>
        <v>0.95499999999999996</v>
      </c>
      <c r="I27" s="87">
        <f>'Proportion of bites on turf'!H29</f>
        <v>0.95499999999999996</v>
      </c>
      <c r="J27" s="87">
        <f>'Proportion of bites on turf'!I29</f>
        <v>0.95499999999999996</v>
      </c>
      <c r="K27" s="87">
        <f>'Proportion of bites on turf'!J29</f>
        <v>0.95499999999999996</v>
      </c>
      <c r="L27" s="147">
        <f>'Proportion of bites on turf'!K29</f>
        <v>0.95499999999999996</v>
      </c>
      <c r="M27" s="148"/>
      <c r="N27" s="148"/>
      <c r="O27" s="133" t="s">
        <v>73</v>
      </c>
      <c r="P27" s="133"/>
      <c r="Q27" s="133"/>
      <c r="R27" s="133"/>
      <c r="S27" s="133"/>
      <c r="T27" s="103"/>
      <c r="U27" s="149"/>
      <c r="V27" s="149"/>
      <c r="W27" s="149"/>
      <c r="X27" s="150"/>
      <c r="Y27" s="113"/>
      <c r="Z27" s="140"/>
      <c r="AA27" s="146"/>
      <c r="AB27" s="146"/>
      <c r="AC27" s="146"/>
      <c r="AD27" s="146"/>
      <c r="AE27" s="146"/>
      <c r="AF27" s="113"/>
      <c r="AG27" s="113"/>
      <c r="AH27" s="113"/>
      <c r="AI27" s="140"/>
      <c r="AJ27" s="151"/>
      <c r="AK27" s="151"/>
      <c r="AL27" s="152"/>
      <c r="AM27" s="153"/>
      <c r="AN27" s="153"/>
      <c r="AO27" s="152"/>
      <c r="AP27" s="113"/>
      <c r="AQ27" s="154"/>
      <c r="AR27" s="154"/>
      <c r="AS27" s="154"/>
      <c r="AT27" s="154"/>
      <c r="AU27" s="154"/>
      <c r="AV27" s="113"/>
    </row>
    <row r="28" spans="1:48" x14ac:dyDescent="0.3">
      <c r="A28" s="123"/>
      <c r="B28" s="310"/>
      <c r="C28" s="134" t="s">
        <v>37</v>
      </c>
      <c r="D28" s="94">
        <f>'Proportion of bites on turf'!C30</f>
        <v>0.93100000000000005</v>
      </c>
      <c r="E28" s="87">
        <f>'Proportion of bites on turf'!D30</f>
        <v>0.93100000000000005</v>
      </c>
      <c r="F28" s="87">
        <f>'Proportion of bites on turf'!E30</f>
        <v>0.93100000000000005</v>
      </c>
      <c r="G28" s="91">
        <f>'Proportion of bites on turf'!F30</f>
        <v>0.93100000000000005</v>
      </c>
      <c r="H28" s="87">
        <f>'Proportion of bites on turf'!G30</f>
        <v>0.93100000000000005</v>
      </c>
      <c r="I28" s="87">
        <f>'Proportion of bites on turf'!H30</f>
        <v>0.93100000000000005</v>
      </c>
      <c r="J28" s="87">
        <f>'Proportion of bites on turf'!I30</f>
        <v>0.93100000000000005</v>
      </c>
      <c r="K28" s="87">
        <f>'Proportion of bites on turf'!J30</f>
        <v>0.93100000000000005</v>
      </c>
      <c r="L28" s="147">
        <f>'Proportion of bites on turf'!K30</f>
        <v>0.93100000000000005</v>
      </c>
      <c r="M28" s="142"/>
      <c r="N28" s="142"/>
      <c r="O28" s="311" t="s">
        <v>61</v>
      </c>
      <c r="P28" s="312"/>
      <c r="Q28" s="312"/>
      <c r="R28" s="312"/>
      <c r="S28" s="155">
        <v>83.25</v>
      </c>
      <c r="T28" s="156" t="s">
        <v>103</v>
      </c>
      <c r="U28" s="143"/>
      <c r="V28" s="157"/>
      <c r="W28" s="157"/>
      <c r="X28" s="158"/>
      <c r="Y28" s="113"/>
      <c r="Z28" s="140"/>
      <c r="AA28" s="154"/>
      <c r="AB28" s="154"/>
      <c r="AC28" s="154"/>
      <c r="AD28" s="154"/>
      <c r="AE28" s="154"/>
      <c r="AF28" s="113"/>
      <c r="AG28" s="113"/>
      <c r="AH28" s="113"/>
      <c r="AI28" s="140"/>
      <c r="AJ28" s="145"/>
      <c r="AK28" s="145"/>
      <c r="AL28" s="145"/>
      <c r="AM28" s="145"/>
      <c r="AN28" s="145"/>
      <c r="AO28" s="145"/>
      <c r="AP28" s="113"/>
      <c r="AQ28" s="146"/>
      <c r="AR28" s="159"/>
      <c r="AS28" s="159"/>
      <c r="AT28" s="159"/>
      <c r="AU28" s="159"/>
      <c r="AV28" s="113"/>
    </row>
    <row r="29" spans="1:48" ht="15" thickBot="1" x14ac:dyDescent="0.35">
      <c r="A29" s="123"/>
      <c r="B29" s="310"/>
      <c r="C29" s="160" t="s">
        <v>38</v>
      </c>
      <c r="D29" s="161">
        <f>'Proportion of bites on turf'!C31</f>
        <v>0.99199999999999999</v>
      </c>
      <c r="E29" s="162">
        <f>'Proportion of bites on turf'!D31</f>
        <v>0.99199999999999999</v>
      </c>
      <c r="F29" s="162">
        <f>'Proportion of bites on turf'!E31</f>
        <v>0.99199999999999999</v>
      </c>
      <c r="G29" s="163">
        <f>'Proportion of bites on turf'!F31</f>
        <v>0.99199999999999999</v>
      </c>
      <c r="H29" s="162">
        <f>'Proportion of bites on turf'!G31</f>
        <v>0.99199999999999999</v>
      </c>
      <c r="I29" s="162">
        <f>'Proportion of bites on turf'!H31</f>
        <v>0.99199999999999999</v>
      </c>
      <c r="J29" s="162">
        <f>'Proportion of bites on turf'!I31</f>
        <v>0.99199999999999999</v>
      </c>
      <c r="K29" s="162">
        <f>'Proportion of bites on turf'!J31</f>
        <v>0.99199999999999999</v>
      </c>
      <c r="L29" s="164">
        <f>'Proportion of bites on turf'!K31</f>
        <v>0.99199999999999999</v>
      </c>
      <c r="M29" s="142"/>
      <c r="N29" s="142"/>
      <c r="O29" s="313" t="s">
        <v>62</v>
      </c>
      <c r="P29" s="314"/>
      <c r="Q29" s="314"/>
      <c r="R29" s="314"/>
      <c r="S29" s="165">
        <v>87.7</v>
      </c>
      <c r="T29" s="156" t="s">
        <v>105</v>
      </c>
      <c r="U29" s="103"/>
      <c r="V29" s="103"/>
      <c r="W29" s="103"/>
      <c r="X29" s="104"/>
      <c r="Y29" s="113"/>
      <c r="Z29" s="140"/>
      <c r="AA29" s="159"/>
      <c r="AB29" s="159"/>
      <c r="AC29" s="159"/>
      <c r="AD29" s="159"/>
      <c r="AE29" s="159"/>
      <c r="AF29" s="113"/>
      <c r="AG29" s="113"/>
      <c r="AH29" s="113"/>
      <c r="AI29" s="140"/>
      <c r="AJ29" s="145"/>
      <c r="AK29" s="145"/>
      <c r="AL29" s="145"/>
      <c r="AM29" s="145"/>
      <c r="AN29" s="145"/>
      <c r="AO29" s="145"/>
      <c r="AP29" s="113"/>
      <c r="AQ29" s="113"/>
      <c r="AR29" s="113"/>
      <c r="AS29" s="113"/>
      <c r="AT29" s="113"/>
      <c r="AU29" s="113"/>
      <c r="AV29" s="113"/>
    </row>
    <row r="30" spans="1:48" ht="15" thickBot="1" x14ac:dyDescent="0.35">
      <c r="A30" s="102"/>
      <c r="B30" s="103"/>
      <c r="C30" s="166"/>
      <c r="D30" s="167" t="s">
        <v>113</v>
      </c>
      <c r="E30" s="167" t="s">
        <v>112</v>
      </c>
      <c r="F30" s="119"/>
      <c r="G30" s="167"/>
      <c r="H30" s="167"/>
      <c r="I30" s="167"/>
      <c r="J30" s="167"/>
      <c r="K30" s="167"/>
      <c r="L30" s="167"/>
      <c r="M30" s="135"/>
      <c r="N30" s="135"/>
      <c r="O30" s="168"/>
      <c r="P30" s="168"/>
      <c r="Q30" s="168"/>
      <c r="R30" s="168"/>
      <c r="S30" s="168"/>
      <c r="T30" s="168"/>
      <c r="U30" s="103"/>
      <c r="V30" s="103"/>
      <c r="W30" s="103"/>
      <c r="X30" s="104"/>
      <c r="Y30" s="113"/>
      <c r="Z30" s="113"/>
      <c r="AA30" s="113"/>
      <c r="AB30" s="113"/>
      <c r="AC30" s="113"/>
      <c r="AD30" s="113"/>
      <c r="AE30" s="113"/>
      <c r="AF30" s="113"/>
      <c r="AG30" s="113"/>
      <c r="AH30" s="113"/>
      <c r="AI30" s="113"/>
      <c r="AJ30" s="140"/>
      <c r="AK30" s="169"/>
      <c r="AL30" s="169"/>
      <c r="AM30" s="169"/>
      <c r="AN30" s="169"/>
      <c r="AO30" s="169"/>
      <c r="AP30" s="169"/>
      <c r="AQ30" s="113"/>
      <c r="AR30" s="113"/>
      <c r="AS30" s="113"/>
      <c r="AT30" s="113"/>
      <c r="AU30" s="113"/>
      <c r="AV30" s="113"/>
    </row>
    <row r="31" spans="1:48" ht="16.8" thickBot="1" x14ac:dyDescent="0.35">
      <c r="A31" s="102"/>
      <c r="B31" s="103"/>
      <c r="C31" s="263" t="s">
        <v>96</v>
      </c>
      <c r="D31" s="275">
        <v>200</v>
      </c>
      <c r="E31" s="275">
        <v>700</v>
      </c>
      <c r="F31" s="103" t="s">
        <v>111</v>
      </c>
      <c r="G31" s="103"/>
      <c r="H31" s="103"/>
      <c r="I31" s="103"/>
      <c r="J31" s="103"/>
      <c r="K31" s="103"/>
      <c r="L31" s="103"/>
      <c r="M31" s="103"/>
      <c r="N31" s="103"/>
      <c r="O31" s="103"/>
      <c r="P31" s="103"/>
      <c r="Q31" s="103"/>
      <c r="R31" s="103"/>
      <c r="S31" s="103"/>
      <c r="T31" s="103"/>
      <c r="U31" s="103"/>
      <c r="V31" s="103"/>
      <c r="W31" s="103"/>
      <c r="X31" s="104"/>
      <c r="Y31" s="113"/>
      <c r="Z31" s="140"/>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row>
    <row r="32" spans="1:48" ht="15" thickBot="1" x14ac:dyDescent="0.35">
      <c r="A32" s="102"/>
      <c r="B32" s="103"/>
      <c r="C32" s="166"/>
      <c r="D32" s="103"/>
      <c r="E32" s="136"/>
      <c r="F32" s="136"/>
      <c r="G32" s="136"/>
      <c r="H32" s="170"/>
      <c r="I32" s="170"/>
      <c r="J32" s="170"/>
      <c r="K32" s="170"/>
      <c r="L32" s="170"/>
      <c r="M32" s="103"/>
      <c r="N32" s="103"/>
      <c r="O32" s="103"/>
      <c r="P32" s="103"/>
      <c r="Q32" s="103"/>
      <c r="R32" s="103"/>
      <c r="S32" s="103"/>
      <c r="T32" s="103"/>
      <c r="U32" s="103"/>
      <c r="V32" s="103"/>
      <c r="W32" s="103"/>
      <c r="X32" s="104"/>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row>
    <row r="33" spans="1:48" ht="15" customHeight="1" x14ac:dyDescent="0.3">
      <c r="A33" s="102"/>
      <c r="B33" s="103"/>
      <c r="C33" s="317" t="s">
        <v>68</v>
      </c>
      <c r="D33" s="296" t="s">
        <v>2</v>
      </c>
      <c r="E33" s="297"/>
      <c r="F33" s="297"/>
      <c r="G33" s="298"/>
      <c r="H33" s="297" t="s">
        <v>3</v>
      </c>
      <c r="I33" s="297"/>
      <c r="J33" s="297"/>
      <c r="K33" s="297"/>
      <c r="L33" s="299"/>
      <c r="M33" s="319" t="s">
        <v>98</v>
      </c>
      <c r="N33" s="320"/>
      <c r="O33" s="296" t="s">
        <v>2</v>
      </c>
      <c r="P33" s="297"/>
      <c r="Q33" s="297"/>
      <c r="R33" s="298"/>
      <c r="S33" s="297" t="s">
        <v>3</v>
      </c>
      <c r="T33" s="297"/>
      <c r="U33" s="297"/>
      <c r="V33" s="297"/>
      <c r="W33" s="299"/>
      <c r="X33" s="104"/>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row>
    <row r="34" spans="1:48" ht="18" customHeight="1" x14ac:dyDescent="0.3">
      <c r="A34" s="102"/>
      <c r="B34" s="103"/>
      <c r="C34" s="318"/>
      <c r="D34" s="251" t="s">
        <v>51</v>
      </c>
      <c r="E34" s="117" t="s">
        <v>52</v>
      </c>
      <c r="F34" s="117" t="s">
        <v>53</v>
      </c>
      <c r="G34" s="252" t="s">
        <v>54</v>
      </c>
      <c r="H34" s="251" t="s">
        <v>51</v>
      </c>
      <c r="I34" s="117" t="s">
        <v>52</v>
      </c>
      <c r="J34" s="117" t="s">
        <v>53</v>
      </c>
      <c r="K34" s="117" t="s">
        <v>54</v>
      </c>
      <c r="L34" s="118" t="s">
        <v>55</v>
      </c>
      <c r="M34" s="321"/>
      <c r="N34" s="322"/>
      <c r="O34" s="251" t="s">
        <v>51</v>
      </c>
      <c r="P34" s="117" t="s">
        <v>52</v>
      </c>
      <c r="Q34" s="117" t="s">
        <v>53</v>
      </c>
      <c r="R34" s="252" t="s">
        <v>54</v>
      </c>
      <c r="S34" s="251" t="s">
        <v>51</v>
      </c>
      <c r="T34" s="117" t="s">
        <v>52</v>
      </c>
      <c r="U34" s="117" t="s">
        <v>53</v>
      </c>
      <c r="V34" s="117" t="s">
        <v>54</v>
      </c>
      <c r="W34" s="118" t="s">
        <v>55</v>
      </c>
      <c r="X34" s="104"/>
    </row>
    <row r="35" spans="1:48" x14ac:dyDescent="0.3">
      <c r="A35" s="123"/>
      <c r="B35" s="310"/>
      <c r="C35" s="132" t="s">
        <v>14</v>
      </c>
      <c r="D35" s="92">
        <f>'Bite rates'!C31</f>
        <v>11.476148148148148</v>
      </c>
      <c r="E35" s="93">
        <f>'Bite rates'!D31</f>
        <v>10.389851851851851</v>
      </c>
      <c r="F35" s="93">
        <f>'Bite rates'!E31</f>
        <v>8.5445277777777768</v>
      </c>
      <c r="G35" s="88">
        <f>'Bite rates'!F31</f>
        <v>6.6869999999999985</v>
      </c>
      <c r="H35" s="93">
        <f>'Bite rates'!G31</f>
        <v>9.7833259259259258</v>
      </c>
      <c r="I35" s="93">
        <f>'Bite rates'!H31</f>
        <v>8.2879462962962958</v>
      </c>
      <c r="J35" s="93">
        <f>'Bite rates'!I31</f>
        <v>6.7925666666666658</v>
      </c>
      <c r="K35" s="93">
        <f>'Bite rates'!J31</f>
        <v>6.0316777777777775</v>
      </c>
      <c r="L35" s="93">
        <f>'Bite rates'!K31</f>
        <v>3.4061833333333329</v>
      </c>
      <c r="M35" s="171"/>
      <c r="N35" s="172"/>
      <c r="O35" s="173">
        <f>D35*D20</f>
        <v>9.8149757037037038</v>
      </c>
      <c r="P35" s="174">
        <f t="shared" ref="P35:W44" si="7">E35*E20</f>
        <v>8.8859207962962952</v>
      </c>
      <c r="Q35" s="174">
        <f t="shared" si="7"/>
        <v>7.3077073819444429</v>
      </c>
      <c r="R35" s="175">
        <f t="shared" si="7"/>
        <v>5.7190567499999982</v>
      </c>
      <c r="S35" s="174">
        <f t="shared" si="7"/>
        <v>8.5212768814814819</v>
      </c>
      <c r="T35" s="174">
        <f t="shared" si="7"/>
        <v>7.218801224074074</v>
      </c>
      <c r="U35" s="174">
        <f t="shared" si="7"/>
        <v>5.9163255666666661</v>
      </c>
      <c r="V35" s="174">
        <f t="shared" si="7"/>
        <v>5.2535913444444438</v>
      </c>
      <c r="W35" s="176">
        <f t="shared" si="7"/>
        <v>2.9667856833333328</v>
      </c>
      <c r="X35" s="104"/>
    </row>
    <row r="36" spans="1:48" x14ac:dyDescent="0.3">
      <c r="A36" s="123"/>
      <c r="B36" s="310"/>
      <c r="C36" s="134" t="s">
        <v>22</v>
      </c>
      <c r="D36" s="94">
        <f>'Bite rates'!C32</f>
        <v>8.5169999999999995</v>
      </c>
      <c r="E36" s="87">
        <f>'Bite rates'!D32</f>
        <v>7.0903333333333327</v>
      </c>
      <c r="F36" s="89"/>
      <c r="G36" s="90"/>
      <c r="H36" s="87">
        <f>'Bite rates'!G32</f>
        <v>7.5636000000000001</v>
      </c>
      <c r="I36" s="87">
        <f>'Bite rates'!H32</f>
        <v>6.4222666666666663</v>
      </c>
      <c r="J36" s="89"/>
      <c r="K36" s="89"/>
      <c r="L36" s="89"/>
      <c r="M36" s="177"/>
      <c r="N36" s="178"/>
      <c r="O36" s="179">
        <f t="shared" ref="O36:O44" si="8">D36*D21</f>
        <v>3.2875619999999999</v>
      </c>
      <c r="P36" s="180">
        <f t="shared" si="7"/>
        <v>2.7368686666666666</v>
      </c>
      <c r="Q36" s="181"/>
      <c r="R36" s="182"/>
      <c r="S36" s="180">
        <f t="shared" si="7"/>
        <v>2.9195496000000003</v>
      </c>
      <c r="T36" s="180">
        <f t="shared" si="7"/>
        <v>2.4789949333333334</v>
      </c>
      <c r="U36" s="181"/>
      <c r="V36" s="181"/>
      <c r="W36" s="183"/>
      <c r="X36" s="104"/>
    </row>
    <row r="37" spans="1:48" x14ac:dyDescent="0.3">
      <c r="A37" s="308"/>
      <c r="B37" s="310"/>
      <c r="C37" s="134" t="s">
        <v>23</v>
      </c>
      <c r="D37" s="94">
        <f>'Bite rates'!C33</f>
        <v>11.500666666666666</v>
      </c>
      <c r="E37" s="87">
        <f>'Bite rates'!D33</f>
        <v>8.3236666666666661</v>
      </c>
      <c r="F37" s="87">
        <f>'Bite rates'!E33</f>
        <v>6.8969999999999985</v>
      </c>
      <c r="G37" s="91">
        <f>'Bite rates'!F33</f>
        <v>5.4703333333333317</v>
      </c>
      <c r="H37" s="87">
        <f>'Bite rates'!G33</f>
        <v>9.2005333333333343</v>
      </c>
      <c r="I37" s="87">
        <f>'Bite rates'!H33</f>
        <v>7.4589333333333325</v>
      </c>
      <c r="J37" s="87">
        <f>'Bite rates'!I33</f>
        <v>6.3175999999999988</v>
      </c>
      <c r="K37" s="87">
        <f>'Bite rates'!J33</f>
        <v>5.1762666666666659</v>
      </c>
      <c r="L37" s="89"/>
      <c r="M37" s="177"/>
      <c r="N37" s="178"/>
      <c r="O37" s="179">
        <f t="shared" si="8"/>
        <v>4.0022319999999993</v>
      </c>
      <c r="P37" s="180">
        <f t="shared" si="7"/>
        <v>2.8966359999999995</v>
      </c>
      <c r="Q37" s="180">
        <f t="shared" si="7"/>
        <v>2.4001559999999995</v>
      </c>
      <c r="R37" s="184">
        <f t="shared" si="7"/>
        <v>1.9036759999999993</v>
      </c>
      <c r="S37" s="180">
        <f t="shared" si="7"/>
        <v>3.2017856</v>
      </c>
      <c r="T37" s="180">
        <f t="shared" si="7"/>
        <v>2.5957087999999997</v>
      </c>
      <c r="U37" s="180">
        <f t="shared" si="7"/>
        <v>2.1985247999999995</v>
      </c>
      <c r="V37" s="180">
        <f t="shared" si="7"/>
        <v>1.8013407999999995</v>
      </c>
      <c r="W37" s="183"/>
      <c r="X37" s="104"/>
    </row>
    <row r="38" spans="1:48" x14ac:dyDescent="0.3">
      <c r="A38" s="308"/>
      <c r="B38" s="310"/>
      <c r="C38" s="134" t="s">
        <v>24</v>
      </c>
      <c r="D38" s="94">
        <f>'Bite rates'!C34</f>
        <v>9.4673333333333325</v>
      </c>
      <c r="E38" s="87">
        <f>'Bite rates'!D34</f>
        <v>7.0569999999999995</v>
      </c>
      <c r="F38" s="87">
        <f>'Bite rates'!E34</f>
        <v>5.6303333333333327</v>
      </c>
      <c r="G38" s="91">
        <f>'Bite rates'!F34</f>
        <v>4.75</v>
      </c>
      <c r="H38" s="87">
        <f>'Bite rates'!G34</f>
        <v>7.5738666666666665</v>
      </c>
      <c r="I38" s="87">
        <f>'Bite rates'!H34</f>
        <v>6.3956</v>
      </c>
      <c r="J38" s="87">
        <f>'Bite rates'!I34</f>
        <v>5.2542666666666662</v>
      </c>
      <c r="K38" s="87">
        <f>'Bite rates'!J34</f>
        <v>4.75</v>
      </c>
      <c r="L38" s="89"/>
      <c r="M38" s="177"/>
      <c r="N38" s="178"/>
      <c r="O38" s="179">
        <f t="shared" si="8"/>
        <v>5.6898673333333329</v>
      </c>
      <c r="P38" s="180">
        <f t="shared" si="7"/>
        <v>4.2412569999999992</v>
      </c>
      <c r="Q38" s="180">
        <f t="shared" si="7"/>
        <v>3.3838303333333331</v>
      </c>
      <c r="R38" s="184">
        <f t="shared" si="7"/>
        <v>2.8547500000000001</v>
      </c>
      <c r="S38" s="180">
        <f t="shared" si="7"/>
        <v>4.5518938666666662</v>
      </c>
      <c r="T38" s="180">
        <f t="shared" si="7"/>
        <v>3.8437555999999997</v>
      </c>
      <c r="U38" s="180">
        <f t="shared" si="7"/>
        <v>3.1578142666666662</v>
      </c>
      <c r="V38" s="180">
        <f t="shared" si="7"/>
        <v>2.8547500000000001</v>
      </c>
      <c r="W38" s="183"/>
      <c r="X38" s="104"/>
    </row>
    <row r="39" spans="1:48" x14ac:dyDescent="0.3">
      <c r="A39" s="308"/>
      <c r="B39" s="131"/>
      <c r="C39" s="132" t="s">
        <v>15</v>
      </c>
      <c r="D39" s="92">
        <f>'Bite rates'!C35</f>
        <v>39.400925925925925</v>
      </c>
      <c r="E39" s="93">
        <f>'Bite rates'!D35</f>
        <v>35.043055555555554</v>
      </c>
      <c r="F39" s="93">
        <f>'Bite rates'!E35</f>
        <v>30.754166666666666</v>
      </c>
      <c r="G39" s="88">
        <f>'Bite rates'!F35</f>
        <v>25.366666666666667</v>
      </c>
      <c r="H39" s="93">
        <f>'Bite rates'!G35</f>
        <v>33.962407407407404</v>
      </c>
      <c r="I39" s="93">
        <f>'Bite rates'!H35</f>
        <v>29.848055555555558</v>
      </c>
      <c r="J39" s="93">
        <f>'Bite rates'!I35</f>
        <v>26.066574074074072</v>
      </c>
      <c r="K39" s="93">
        <f>'Bite rates'!J35</f>
        <v>22.842037037037034</v>
      </c>
      <c r="L39" s="93">
        <f>'Bite rates'!K35</f>
        <v>18.224166666666665</v>
      </c>
      <c r="M39" s="177"/>
      <c r="N39" s="178"/>
      <c r="O39" s="173">
        <f t="shared" si="8"/>
        <v>35.884393287037035</v>
      </c>
      <c r="P39" s="174">
        <f t="shared" si="7"/>
        <v>31.915462847222219</v>
      </c>
      <c r="Q39" s="174">
        <f t="shared" si="7"/>
        <v>28.009357291666664</v>
      </c>
      <c r="R39" s="175">
        <f t="shared" si="7"/>
        <v>23.102691666666665</v>
      </c>
      <c r="S39" s="174">
        <f t="shared" si="7"/>
        <v>32.21334342592592</v>
      </c>
      <c r="T39" s="174">
        <f t="shared" si="7"/>
        <v>28.310880694444446</v>
      </c>
      <c r="U39" s="174">
        <f t="shared" si="7"/>
        <v>24.724145509259259</v>
      </c>
      <c r="V39" s="174">
        <f t="shared" si="7"/>
        <v>21.665672129629627</v>
      </c>
      <c r="W39" s="176">
        <f t="shared" si="7"/>
        <v>17.285622083333333</v>
      </c>
      <c r="X39" s="104"/>
    </row>
    <row r="40" spans="1:48" x14ac:dyDescent="0.3">
      <c r="A40" s="308"/>
      <c r="B40" s="131"/>
      <c r="C40" s="134" t="s">
        <v>25</v>
      </c>
      <c r="D40" s="94">
        <f>'Bite rates'!C36</f>
        <v>28.65</v>
      </c>
      <c r="E40" s="87">
        <f>'Bite rates'!D36</f>
        <v>22.9</v>
      </c>
      <c r="F40" s="87">
        <f>'Bite rates'!E36</f>
        <v>19.149999999999999</v>
      </c>
      <c r="G40" s="90"/>
      <c r="H40" s="87">
        <f>'Bite rates'!G36</f>
        <v>26.602499999999999</v>
      </c>
      <c r="I40" s="87">
        <f>'Bite rates'!H36</f>
        <v>21.265000000000001</v>
      </c>
      <c r="J40" s="87">
        <f>'Bite rates'!I36</f>
        <v>17.927499999999998</v>
      </c>
      <c r="K40" s="89"/>
      <c r="L40" s="89"/>
      <c r="M40" s="177"/>
      <c r="N40" s="178"/>
      <c r="O40" s="179">
        <f t="shared" si="8"/>
        <v>27.131549999999997</v>
      </c>
      <c r="P40" s="180">
        <f t="shared" si="7"/>
        <v>21.686299999999999</v>
      </c>
      <c r="Q40" s="180">
        <f t="shared" si="7"/>
        <v>18.135049999999996</v>
      </c>
      <c r="R40" s="182"/>
      <c r="S40" s="180">
        <f t="shared" si="7"/>
        <v>25.192567499999999</v>
      </c>
      <c r="T40" s="180">
        <f t="shared" si="7"/>
        <v>20.137954999999998</v>
      </c>
      <c r="U40" s="180">
        <f t="shared" si="7"/>
        <v>16.977342499999999</v>
      </c>
      <c r="V40" s="181"/>
      <c r="W40" s="183"/>
      <c r="X40" s="104"/>
    </row>
    <row r="41" spans="1:48" x14ac:dyDescent="0.3">
      <c r="A41" s="308"/>
      <c r="B41" s="310"/>
      <c r="C41" s="134" t="s">
        <v>71</v>
      </c>
      <c r="D41" s="94">
        <f>'Bite rates'!C37</f>
        <v>18.666666666666668</v>
      </c>
      <c r="E41" s="87">
        <f>'Bite rates'!D37</f>
        <v>13.166666666666666</v>
      </c>
      <c r="F41" s="87">
        <f>'Bite rates'!E37</f>
        <v>7.666666666666667</v>
      </c>
      <c r="G41" s="90"/>
      <c r="H41" s="87">
        <f>'Bite rates'!G37</f>
        <v>15.866666666666667</v>
      </c>
      <c r="I41" s="87">
        <f>'Bite rates'!H37</f>
        <v>11.191666666666666</v>
      </c>
      <c r="J41" s="87">
        <f>'Bite rates'!I37</f>
        <v>6.5166666666666666</v>
      </c>
      <c r="K41" s="89"/>
      <c r="L41" s="89"/>
      <c r="M41" s="177"/>
      <c r="N41" s="178"/>
      <c r="O41" s="179">
        <f t="shared" si="8"/>
        <v>17.677333333333333</v>
      </c>
      <c r="P41" s="180">
        <f t="shared" si="7"/>
        <v>12.468833333333333</v>
      </c>
      <c r="Q41" s="180">
        <f t="shared" si="7"/>
        <v>7.2603333333333335</v>
      </c>
      <c r="R41" s="182"/>
      <c r="S41" s="180">
        <f t="shared" si="7"/>
        <v>15.025733333333333</v>
      </c>
      <c r="T41" s="180">
        <f t="shared" si="7"/>
        <v>10.598508333333333</v>
      </c>
      <c r="U41" s="180">
        <f t="shared" si="7"/>
        <v>6.1712833333333332</v>
      </c>
      <c r="V41" s="181"/>
      <c r="W41" s="183"/>
      <c r="X41" s="104"/>
    </row>
    <row r="42" spans="1:48" x14ac:dyDescent="0.3">
      <c r="A42" s="123"/>
      <c r="B42" s="310"/>
      <c r="C42" s="134" t="s">
        <v>36</v>
      </c>
      <c r="D42" s="94">
        <f>'Bite rates'!C38</f>
        <v>17</v>
      </c>
      <c r="E42" s="87">
        <f>'Bite rates'!D38</f>
        <v>15</v>
      </c>
      <c r="F42" s="87">
        <f>'Bite rates'!E38</f>
        <v>13</v>
      </c>
      <c r="G42" s="91">
        <f>'Bite rates'!F38</f>
        <v>11</v>
      </c>
      <c r="H42" s="87">
        <f>'Bite rates'!G38</f>
        <v>17</v>
      </c>
      <c r="I42" s="87">
        <f>'Bite rates'!H38</f>
        <v>15</v>
      </c>
      <c r="J42" s="87">
        <f>'Bite rates'!I38</f>
        <v>13</v>
      </c>
      <c r="K42" s="87">
        <f>'Bite rates'!J38</f>
        <v>11</v>
      </c>
      <c r="L42" s="87">
        <f>'Bite rates'!K38</f>
        <v>10</v>
      </c>
      <c r="M42" s="177"/>
      <c r="N42" s="185"/>
      <c r="O42" s="180">
        <f t="shared" si="8"/>
        <v>16.234999999999999</v>
      </c>
      <c r="P42" s="180">
        <f t="shared" si="7"/>
        <v>14.324999999999999</v>
      </c>
      <c r="Q42" s="180">
        <f t="shared" si="7"/>
        <v>12.414999999999999</v>
      </c>
      <c r="R42" s="184">
        <f t="shared" si="7"/>
        <v>10.504999999999999</v>
      </c>
      <c r="S42" s="180">
        <f t="shared" si="7"/>
        <v>16.234999999999999</v>
      </c>
      <c r="T42" s="180">
        <f t="shared" si="7"/>
        <v>14.324999999999999</v>
      </c>
      <c r="U42" s="180">
        <f t="shared" si="7"/>
        <v>12.414999999999999</v>
      </c>
      <c r="V42" s="180">
        <f t="shared" si="7"/>
        <v>10.504999999999999</v>
      </c>
      <c r="W42" s="186">
        <f t="shared" si="7"/>
        <v>9.5499999999999989</v>
      </c>
      <c r="X42" s="104"/>
      <c r="Y42" s="187"/>
    </row>
    <row r="43" spans="1:48" x14ac:dyDescent="0.3">
      <c r="A43" s="123"/>
      <c r="B43" s="310"/>
      <c r="C43" s="134" t="s">
        <v>37</v>
      </c>
      <c r="D43" s="94">
        <f>'Bite rates'!C39</f>
        <v>19</v>
      </c>
      <c r="E43" s="87">
        <f>'Bite rates'!D39</f>
        <v>17</v>
      </c>
      <c r="F43" s="87">
        <f>'Bite rates'!E39</f>
        <v>15</v>
      </c>
      <c r="G43" s="91">
        <f>'Bite rates'!F39</f>
        <v>12</v>
      </c>
      <c r="H43" s="87">
        <f>'Bite rates'!G39</f>
        <v>19</v>
      </c>
      <c r="I43" s="87">
        <f>'Bite rates'!H39</f>
        <v>17</v>
      </c>
      <c r="J43" s="87">
        <f>'Bite rates'!I39</f>
        <v>15</v>
      </c>
      <c r="K43" s="87">
        <f>'Bite rates'!J39</f>
        <v>12</v>
      </c>
      <c r="L43" s="87">
        <f>'Bite rates'!K39</f>
        <v>10</v>
      </c>
      <c r="M43" s="177"/>
      <c r="N43" s="185"/>
      <c r="O43" s="180">
        <f t="shared" si="8"/>
        <v>17.689</v>
      </c>
      <c r="P43" s="180">
        <f t="shared" si="7"/>
        <v>15.827000000000002</v>
      </c>
      <c r="Q43" s="180">
        <f t="shared" si="7"/>
        <v>13.965</v>
      </c>
      <c r="R43" s="184">
        <f t="shared" si="7"/>
        <v>11.172000000000001</v>
      </c>
      <c r="S43" s="180">
        <f t="shared" si="7"/>
        <v>17.689</v>
      </c>
      <c r="T43" s="180">
        <f t="shared" si="7"/>
        <v>15.827000000000002</v>
      </c>
      <c r="U43" s="180">
        <f t="shared" si="7"/>
        <v>13.965</v>
      </c>
      <c r="V43" s="180">
        <f t="shared" si="7"/>
        <v>11.172000000000001</v>
      </c>
      <c r="W43" s="186">
        <f t="shared" si="7"/>
        <v>9.31</v>
      </c>
      <c r="X43" s="104"/>
    </row>
    <row r="44" spans="1:48" ht="15" thickBot="1" x14ac:dyDescent="0.35">
      <c r="A44" s="123"/>
      <c r="B44" s="310"/>
      <c r="C44" s="160" t="s">
        <v>38</v>
      </c>
      <c r="D44" s="95">
        <f>'Bite rates'!C40</f>
        <v>20</v>
      </c>
      <c r="E44" s="96">
        <f>'Bite rates'!D40</f>
        <v>18</v>
      </c>
      <c r="F44" s="96">
        <f>'Bite rates'!E40</f>
        <v>16</v>
      </c>
      <c r="G44" s="163">
        <f>'Bite rates'!F40</f>
        <v>12</v>
      </c>
      <c r="H44" s="96">
        <f>'Bite rates'!G40</f>
        <v>20</v>
      </c>
      <c r="I44" s="96">
        <f>'Bite rates'!H40</f>
        <v>18</v>
      </c>
      <c r="J44" s="96">
        <f>'Bite rates'!I40</f>
        <v>16</v>
      </c>
      <c r="K44" s="96">
        <f>'Bite rates'!J40</f>
        <v>12</v>
      </c>
      <c r="L44" s="96">
        <f>'Bite rates'!K40</f>
        <v>10</v>
      </c>
      <c r="M44" s="188"/>
      <c r="N44" s="189"/>
      <c r="O44" s="190">
        <f t="shared" si="8"/>
        <v>19.84</v>
      </c>
      <c r="P44" s="191">
        <f t="shared" si="7"/>
        <v>17.856000000000002</v>
      </c>
      <c r="Q44" s="191">
        <f t="shared" si="7"/>
        <v>15.872</v>
      </c>
      <c r="R44" s="192">
        <f t="shared" si="7"/>
        <v>11.904</v>
      </c>
      <c r="S44" s="191">
        <f t="shared" si="7"/>
        <v>19.84</v>
      </c>
      <c r="T44" s="191">
        <f t="shared" si="7"/>
        <v>17.856000000000002</v>
      </c>
      <c r="U44" s="191">
        <f t="shared" si="7"/>
        <v>15.872</v>
      </c>
      <c r="V44" s="191">
        <f t="shared" si="7"/>
        <v>11.904</v>
      </c>
      <c r="W44" s="193">
        <f t="shared" si="7"/>
        <v>9.92</v>
      </c>
      <c r="X44" s="104"/>
    </row>
    <row r="45" spans="1:48" ht="18" customHeight="1" x14ac:dyDescent="0.3">
      <c r="A45" s="102"/>
      <c r="B45" s="103"/>
      <c r="C45" s="194"/>
      <c r="D45" s="195"/>
      <c r="E45" s="195"/>
      <c r="F45" s="196"/>
      <c r="G45" s="195"/>
      <c r="H45" s="195"/>
      <c r="I45" s="195"/>
      <c r="J45" s="195"/>
      <c r="K45" s="195"/>
      <c r="L45" s="195"/>
      <c r="M45" s="319" t="s">
        <v>100</v>
      </c>
      <c r="N45" s="320"/>
      <c r="O45" s="197"/>
      <c r="P45" s="197"/>
      <c r="Q45" s="198"/>
      <c r="R45" s="197"/>
      <c r="S45" s="197"/>
      <c r="T45" s="197"/>
      <c r="U45" s="197"/>
      <c r="V45" s="197"/>
      <c r="W45" s="199"/>
      <c r="X45" s="104"/>
    </row>
    <row r="46" spans="1:48" ht="17.25" customHeight="1" x14ac:dyDescent="0.3">
      <c r="A46" s="102"/>
      <c r="B46" s="103"/>
      <c r="C46" s="267" t="s">
        <v>97</v>
      </c>
      <c r="D46" s="200"/>
      <c r="E46" s="200"/>
      <c r="F46" s="200"/>
      <c r="G46" s="200"/>
      <c r="H46" s="200"/>
      <c r="I46" s="200"/>
      <c r="J46" s="200"/>
      <c r="K46" s="200"/>
      <c r="L46" s="200"/>
      <c r="M46" s="321"/>
      <c r="N46" s="322"/>
      <c r="O46" s="202"/>
      <c r="P46" s="202"/>
      <c r="Q46" s="203"/>
      <c r="R46" s="202"/>
      <c r="S46" s="202"/>
      <c r="T46" s="202"/>
      <c r="U46" s="202"/>
      <c r="V46" s="202"/>
      <c r="W46" s="204"/>
      <c r="X46" s="104"/>
    </row>
    <row r="47" spans="1:48" x14ac:dyDescent="0.3">
      <c r="A47" s="123"/>
      <c r="B47" s="310"/>
      <c r="C47" s="132" t="s">
        <v>14</v>
      </c>
      <c r="D47" s="205">
        <f>'Scar area'!C15</f>
        <v>0.11828250000000001</v>
      </c>
      <c r="E47" s="206">
        <f>'Scar area'!D15</f>
        <v>0.32856250000000004</v>
      </c>
      <c r="F47" s="206">
        <f>'Scar area'!E15</f>
        <v>0.64398250000000001</v>
      </c>
      <c r="G47" s="207">
        <f>'Scar area'!F15</f>
        <v>1.0645425000000002</v>
      </c>
      <c r="H47" s="206">
        <f>'Scar area'!G15</f>
        <v>0.11828250000000001</v>
      </c>
      <c r="I47" s="206">
        <f>'Scar area'!H15</f>
        <v>0.32856250000000004</v>
      </c>
      <c r="J47" s="206">
        <f>'Scar area'!I15</f>
        <v>0.64398250000000001</v>
      </c>
      <c r="K47" s="206">
        <f>'Scar area'!J15</f>
        <v>1.0645425000000002</v>
      </c>
      <c r="L47" s="206">
        <f>'Scar area'!K15</f>
        <v>1.5902425000000002</v>
      </c>
      <c r="M47" s="177"/>
      <c r="N47" s="178"/>
      <c r="O47" s="219">
        <f>O35*(60*12*$S$28/100)*D47/10000</f>
        <v>6.9586735428579613E-2</v>
      </c>
      <c r="P47" s="220">
        <f>P35*(60*12*$S$28/100)*E47/10000</f>
        <v>0.17499964627688813</v>
      </c>
      <c r="Q47" s="220">
        <f t="shared" ref="Q47:W47" si="9">Q35*(60*12*$S$28/100)*F47/10000</f>
        <v>0.28207977800543665</v>
      </c>
      <c r="R47" s="221">
        <f t="shared" si="9"/>
        <v>0.36492544747899525</v>
      </c>
      <c r="S47" s="220">
        <f t="shared" si="9"/>
        <v>6.0414600888065981E-2</v>
      </c>
      <c r="T47" s="220">
        <f t="shared" si="9"/>
        <v>0.14216733298845921</v>
      </c>
      <c r="U47" s="220">
        <f t="shared" si="9"/>
        <v>0.22837200714640085</v>
      </c>
      <c r="V47" s="220">
        <f t="shared" si="9"/>
        <v>0.33522471555176742</v>
      </c>
      <c r="W47" s="222">
        <f t="shared" si="9"/>
        <v>0.28279144640077081</v>
      </c>
      <c r="X47" s="104"/>
    </row>
    <row r="48" spans="1:48" x14ac:dyDescent="0.3">
      <c r="A48" s="123"/>
      <c r="B48" s="310"/>
      <c r="C48" s="134" t="s">
        <v>22</v>
      </c>
      <c r="D48" s="208">
        <f>'Scar area'!C16</f>
        <v>0.11828250000000001</v>
      </c>
      <c r="E48" s="209">
        <f>'Scar area'!D16</f>
        <v>0.32856250000000004</v>
      </c>
      <c r="F48" s="210"/>
      <c r="G48" s="211"/>
      <c r="H48" s="209">
        <f>'Scar area'!G16</f>
        <v>0.11828250000000001</v>
      </c>
      <c r="I48" s="209">
        <f>'Scar area'!H16</f>
        <v>0.32856250000000004</v>
      </c>
      <c r="J48" s="210"/>
      <c r="K48" s="210"/>
      <c r="L48" s="210"/>
      <c r="M48" s="177"/>
      <c r="N48" s="178"/>
      <c r="O48" s="223">
        <f t="shared" ref="O48:P50" si="10">O36*(60*12*$S$29/100)*D48/10000</f>
        <v>2.4554242284221168E-2</v>
      </c>
      <c r="P48" s="224">
        <f t="shared" si="10"/>
        <v>5.6781131378601017E-2</v>
      </c>
      <c r="Q48" s="225"/>
      <c r="R48" s="226"/>
      <c r="S48" s="224">
        <f>S36*(60*12*$S$29/100)*H48/10000</f>
        <v>2.1805620164486932E-2</v>
      </c>
      <c r="T48" s="224">
        <f>T36*(60*12*$S$29/100)*I48/10000</f>
        <v>5.1431089372630807E-2</v>
      </c>
      <c r="U48" s="225"/>
      <c r="V48" s="225"/>
      <c r="W48" s="227"/>
      <c r="X48" s="104"/>
    </row>
    <row r="49" spans="1:28" ht="15" customHeight="1" x14ac:dyDescent="0.3">
      <c r="A49" s="308"/>
      <c r="B49" s="310"/>
      <c r="C49" s="134" t="s">
        <v>23</v>
      </c>
      <c r="D49" s="208">
        <f>'Scar area'!C17</f>
        <v>0.11828250000000001</v>
      </c>
      <c r="E49" s="209">
        <f>'Scar area'!D17</f>
        <v>0.32856250000000004</v>
      </c>
      <c r="F49" s="209">
        <f>'Scar area'!E17</f>
        <v>0.64398250000000001</v>
      </c>
      <c r="G49" s="212">
        <f>'Scar area'!F17</f>
        <v>1.0645425000000002</v>
      </c>
      <c r="H49" s="209">
        <f>'Scar area'!G17</f>
        <v>0.11828250000000001</v>
      </c>
      <c r="I49" s="209">
        <f>'Scar area'!H17</f>
        <v>0.32856250000000004</v>
      </c>
      <c r="J49" s="209">
        <f>'Scar area'!I17</f>
        <v>0.64398250000000001</v>
      </c>
      <c r="K49" s="209">
        <f>'Scar area'!J17</f>
        <v>1.0645425000000002</v>
      </c>
      <c r="L49" s="210"/>
      <c r="M49" s="177"/>
      <c r="N49" s="178"/>
      <c r="O49" s="223">
        <f t="shared" si="10"/>
        <v>2.9891991148961763E-2</v>
      </c>
      <c r="P49" s="224">
        <f t="shared" si="10"/>
        <v>6.0095784381318004E-2</v>
      </c>
      <c r="Q49" s="224">
        <f t="shared" ref="Q49:V49" si="11">Q37*(60*12*$S$29/100)*F49/10000</f>
        <v>9.7599057878432871E-2</v>
      </c>
      <c r="R49" s="228">
        <f t="shared" si="11"/>
        <v>0.12796409485567511</v>
      </c>
      <c r="S49" s="224">
        <f t="shared" si="11"/>
        <v>2.3913592919169415E-2</v>
      </c>
      <c r="T49" s="224">
        <f t="shared" si="11"/>
        <v>5.3852522844254409E-2</v>
      </c>
      <c r="U49" s="224">
        <f t="shared" si="11"/>
        <v>8.9400001167578291E-2</v>
      </c>
      <c r="V49" s="224">
        <f t="shared" si="11"/>
        <v>0.1210851767835481</v>
      </c>
      <c r="W49" s="227"/>
      <c r="X49" s="104"/>
    </row>
    <row r="50" spans="1:28" x14ac:dyDescent="0.3">
      <c r="A50" s="308"/>
      <c r="B50" s="310"/>
      <c r="C50" s="134" t="s">
        <v>24</v>
      </c>
      <c r="D50" s="264">
        <f>'Scar area'!C18</f>
        <v>0.11828250000000001</v>
      </c>
      <c r="E50" s="265">
        <f>'Scar area'!D18</f>
        <v>0.32856250000000004</v>
      </c>
      <c r="F50" s="265">
        <f>'Scar area'!E18</f>
        <v>0.64398250000000001</v>
      </c>
      <c r="G50" s="266">
        <f>'Scar area'!F18</f>
        <v>1.0645425000000002</v>
      </c>
      <c r="H50" s="265">
        <f>'Scar area'!G18</f>
        <v>0.11828250000000001</v>
      </c>
      <c r="I50" s="265">
        <f>'Scar area'!H18</f>
        <v>0.32856250000000004</v>
      </c>
      <c r="J50" s="265">
        <f>'Scar area'!I18</f>
        <v>0.64398250000000001</v>
      </c>
      <c r="K50" s="265">
        <f>'Scar area'!J18</f>
        <v>1.0645425000000002</v>
      </c>
      <c r="L50" s="272"/>
      <c r="M50" s="177"/>
      <c r="N50" s="178"/>
      <c r="O50" s="223">
        <f t="shared" si="10"/>
        <v>4.2496652859396133E-2</v>
      </c>
      <c r="P50" s="224">
        <f t="shared" si="10"/>
        <v>8.7992300785378508E-2</v>
      </c>
      <c r="Q50" s="224">
        <f t="shared" ref="Q50:V50" si="12">Q38*(60*12*$S$29/100)*F50/10000</f>
        <v>0.13759882797359707</v>
      </c>
      <c r="R50" s="228">
        <f t="shared" si="12"/>
        <v>0.19189478660719508</v>
      </c>
      <c r="S50" s="224">
        <f t="shared" si="12"/>
        <v>3.3997322287516903E-2</v>
      </c>
      <c r="T50" s="224">
        <f t="shared" si="12"/>
        <v>7.9745438416177816E-2</v>
      </c>
      <c r="U50" s="224">
        <f t="shared" si="12"/>
        <v>0.12840819404311266</v>
      </c>
      <c r="V50" s="224">
        <f t="shared" si="12"/>
        <v>0.19189478660719508</v>
      </c>
      <c r="W50" s="227"/>
      <c r="X50" s="104"/>
    </row>
    <row r="51" spans="1:28" ht="15" customHeight="1" x14ac:dyDescent="0.3">
      <c r="A51" s="308"/>
      <c r="B51" s="131"/>
      <c r="C51" s="132" t="s">
        <v>15</v>
      </c>
      <c r="D51" s="205">
        <f>'Scar area'!C19</f>
        <v>9.0292499999999998E-2</v>
      </c>
      <c r="E51" s="206">
        <f>'Scar area'!D19</f>
        <v>0.25081249999999999</v>
      </c>
      <c r="F51" s="206">
        <f>'Scar area'!E19</f>
        <v>0.49159249999999999</v>
      </c>
      <c r="G51" s="207">
        <f>'Scar area'!F19</f>
        <v>0.81263249999999998</v>
      </c>
      <c r="H51" s="206">
        <f>'Scar area'!G19</f>
        <v>9.0292499999999998E-2</v>
      </c>
      <c r="I51" s="206">
        <f>'Scar area'!H19</f>
        <v>0.25081249999999999</v>
      </c>
      <c r="J51" s="206">
        <f>'Scar area'!I19</f>
        <v>0.49159249999999999</v>
      </c>
      <c r="K51" s="206">
        <f>'Scar area'!J19</f>
        <v>0.81263249999999998</v>
      </c>
      <c r="L51" s="206">
        <f>'Scar area'!K19</f>
        <v>1.2139325000000001</v>
      </c>
      <c r="M51" s="177"/>
      <c r="N51" s="178"/>
      <c r="O51" s="219">
        <f>O39*(60*12*$S$28/100)*D51/10000</f>
        <v>0.1942110893573353</v>
      </c>
      <c r="P51" s="220">
        <f>P39*(60*12*$S$28/100)*E51/10000</f>
        <v>0.47980753370061319</v>
      </c>
      <c r="Q51" s="220">
        <f t="shared" ref="Q51" si="13">Q39*(60*12*$S$28/100)*F51/10000</f>
        <v>0.82532524706575439</v>
      </c>
      <c r="R51" s="221">
        <f t="shared" ref="R51" si="14">R39*(60*12*$S$28/100)*G51/10000</f>
        <v>1.1253134452636009</v>
      </c>
      <c r="S51" s="220">
        <f t="shared" ref="S51" si="15">S39*(60*12*$S$28/100)*H51/10000</f>
        <v>0.17434288127844783</v>
      </c>
      <c r="T51" s="220">
        <f t="shared" ref="T51" si="16">T39*(60*12*$S$28/100)*I51/10000</f>
        <v>0.42561732248467032</v>
      </c>
      <c r="U51" s="220">
        <f t="shared" ref="U51" si="17">U39*(60*12*$S$28/100)*J51/10000</f>
        <v>0.72852301780555628</v>
      </c>
      <c r="V51" s="220">
        <f t="shared" ref="V51" si="18">V39*(60*12*$S$28/100)*K51/10000</f>
        <v>1.0553173846544619</v>
      </c>
      <c r="W51" s="222">
        <f t="shared" ref="W51" si="19">W39*(60*12*$S$28/100)*L51/10000</f>
        <v>1.2577556910747818</v>
      </c>
      <c r="X51" s="104"/>
    </row>
    <row r="52" spans="1:28" x14ac:dyDescent="0.3">
      <c r="A52" s="308"/>
      <c r="B52" s="131"/>
      <c r="C52" s="134" t="s">
        <v>25</v>
      </c>
      <c r="D52" s="208">
        <f>'Scar area'!C20</f>
        <v>9.0292499999999998E-2</v>
      </c>
      <c r="E52" s="209">
        <f>'Scar area'!D20</f>
        <v>0.25081249999999999</v>
      </c>
      <c r="F52" s="209">
        <f>'Scar area'!E20</f>
        <v>0.49159249999999999</v>
      </c>
      <c r="G52" s="211"/>
      <c r="H52" s="209">
        <f>'Scar area'!G20</f>
        <v>9.0292499999999998E-2</v>
      </c>
      <c r="I52" s="209">
        <f>'Scar area'!H20</f>
        <v>0.25081249999999999</v>
      </c>
      <c r="J52" s="209">
        <f>'Scar area'!I20</f>
        <v>0.49159249999999999</v>
      </c>
      <c r="K52" s="210"/>
      <c r="L52" s="210"/>
      <c r="M52" s="177"/>
      <c r="N52" s="178"/>
      <c r="O52" s="223">
        <f t="shared" ref="O52:Q53" si="20">O40*(60*12*$S$29/100)*D52/10000</f>
        <v>0.15468862280651099</v>
      </c>
      <c r="P52" s="224">
        <f t="shared" si="20"/>
        <v>0.34345253657835001</v>
      </c>
      <c r="Q52" s="224">
        <f t="shared" si="20"/>
        <v>0.56293220558654089</v>
      </c>
      <c r="R52" s="226"/>
      <c r="S52" s="224">
        <f t="shared" ref="S52:U53" si="21">S40*(60*12*$S$29/100)*H52/10000</f>
        <v>0.14363365054834934</v>
      </c>
      <c r="T52" s="224">
        <f t="shared" si="21"/>
        <v>0.31893092534229744</v>
      </c>
      <c r="U52" s="224">
        <f t="shared" si="21"/>
        <v>0.52699567183565077</v>
      </c>
      <c r="V52" s="225"/>
      <c r="W52" s="227"/>
      <c r="X52" s="104"/>
    </row>
    <row r="53" spans="1:28" x14ac:dyDescent="0.3">
      <c r="A53" s="308"/>
      <c r="B53" s="310"/>
      <c r="C53" s="134" t="s">
        <v>71</v>
      </c>
      <c r="D53" s="208">
        <f>'Scar area'!C21</f>
        <v>9.0292499999999998E-2</v>
      </c>
      <c r="E53" s="209">
        <f>'Scar area'!D21</f>
        <v>0.25081249999999999</v>
      </c>
      <c r="F53" s="209">
        <f>'Scar area'!E21</f>
        <v>0.49159249999999999</v>
      </c>
      <c r="G53" s="211"/>
      <c r="H53" s="209">
        <f>'Scar area'!G21</f>
        <v>9.0292499999999998E-2</v>
      </c>
      <c r="I53" s="209">
        <f>'Scar area'!H21</f>
        <v>0.25081249999999999</v>
      </c>
      <c r="J53" s="209">
        <f>'Scar area'!I21</f>
        <v>0.49159249999999999</v>
      </c>
      <c r="K53" s="210"/>
      <c r="L53" s="210"/>
      <c r="M53" s="177"/>
      <c r="N53" s="178"/>
      <c r="O53" s="223">
        <f t="shared" si="20"/>
        <v>0.10078607186928001</v>
      </c>
      <c r="P53" s="224">
        <f t="shared" si="20"/>
        <v>0.19747271025975002</v>
      </c>
      <c r="Q53" s="224">
        <f t="shared" si="20"/>
        <v>0.22536885515214003</v>
      </c>
      <c r="R53" s="226"/>
      <c r="S53" s="224">
        <f t="shared" si="21"/>
        <v>8.5668161088888001E-2</v>
      </c>
      <c r="T53" s="224">
        <f t="shared" si="21"/>
        <v>0.16785180372078751</v>
      </c>
      <c r="U53" s="224">
        <f t="shared" si="21"/>
        <v>0.19156352687931902</v>
      </c>
      <c r="V53" s="225"/>
      <c r="W53" s="227"/>
      <c r="X53" s="104"/>
    </row>
    <row r="54" spans="1:28" x14ac:dyDescent="0.3">
      <c r="A54" s="123"/>
      <c r="B54" s="310"/>
      <c r="C54" s="129" t="s">
        <v>36</v>
      </c>
      <c r="D54" s="209">
        <f>'Scar area'!C22</f>
        <v>0.130275</v>
      </c>
      <c r="E54" s="209">
        <f>'Scar area'!D22</f>
        <v>0.361875</v>
      </c>
      <c r="F54" s="209">
        <f>'Scar area'!E22</f>
        <v>0.70927499999999999</v>
      </c>
      <c r="G54" s="212">
        <f>'Scar area'!F22</f>
        <v>1.1724749999999999</v>
      </c>
      <c r="H54" s="209">
        <f>'Scar area'!G22</f>
        <v>0.130275</v>
      </c>
      <c r="I54" s="209">
        <f>'Scar area'!H22</f>
        <v>0.361875</v>
      </c>
      <c r="J54" s="209">
        <f>'Scar area'!I22</f>
        <v>0.70927499999999999</v>
      </c>
      <c r="K54" s="209">
        <f>'Scar area'!J22</f>
        <v>1.1724749999999999</v>
      </c>
      <c r="L54" s="209">
        <f>'Scar area'!K22</f>
        <v>1.7514749999999999</v>
      </c>
      <c r="M54" s="177"/>
      <c r="N54" s="185"/>
      <c r="O54" s="224">
        <f>O42*(60*12*$S$28/100)*D54/10000</f>
        <v>0.12677397662250001</v>
      </c>
      <c r="P54" s="224">
        <f>P42*(60*12*$S$28/100)*E54/10000</f>
        <v>0.31072053093749996</v>
      </c>
      <c r="Q54" s="224">
        <f>Q42*(60*12*$S$28/100)*F54/10000</f>
        <v>0.52781060855249995</v>
      </c>
      <c r="R54" s="228">
        <f t="shared" ref="R54:W56" si="22">R42*(60*12*$S$28/100)*G54/10000</f>
        <v>0.73827198150749984</v>
      </c>
      <c r="S54" s="224">
        <f t="shared" si="22"/>
        <v>0.12677397662250001</v>
      </c>
      <c r="T54" s="224">
        <f t="shared" si="22"/>
        <v>0.31072053093749996</v>
      </c>
      <c r="U54" s="224">
        <f t="shared" si="22"/>
        <v>0.52781060855249995</v>
      </c>
      <c r="V54" s="224">
        <f t="shared" si="22"/>
        <v>0.73827198150749984</v>
      </c>
      <c r="W54" s="273">
        <f t="shared" si="22"/>
        <v>1.0025915798249998</v>
      </c>
      <c r="X54" s="104"/>
    </row>
    <row r="55" spans="1:28" ht="15" customHeight="1" x14ac:dyDescent="0.3">
      <c r="A55" s="123"/>
      <c r="B55" s="310"/>
      <c r="C55" s="129" t="s">
        <v>37</v>
      </c>
      <c r="D55" s="209">
        <f>'Scar area'!C23</f>
        <v>0.130275</v>
      </c>
      <c r="E55" s="209">
        <f>'Scar area'!D23</f>
        <v>0.361875</v>
      </c>
      <c r="F55" s="209">
        <f>'Scar area'!E23</f>
        <v>0.70927499999999999</v>
      </c>
      <c r="G55" s="212">
        <f>'Scar area'!F23</f>
        <v>1.1724749999999999</v>
      </c>
      <c r="H55" s="209">
        <f>'Scar area'!G23</f>
        <v>0.130275</v>
      </c>
      <c r="I55" s="209">
        <f>'Scar area'!H23</f>
        <v>0.361875</v>
      </c>
      <c r="J55" s="209">
        <f>'Scar area'!I23</f>
        <v>0.70927499999999999</v>
      </c>
      <c r="K55" s="209">
        <f>'Scar area'!J23</f>
        <v>1.1724749999999999</v>
      </c>
      <c r="L55" s="209">
        <f>'Scar area'!K23</f>
        <v>1.7514749999999999</v>
      </c>
      <c r="M55" s="177"/>
      <c r="N55" s="185"/>
      <c r="O55" s="224">
        <f t="shared" ref="O55:Q56" si="23">O43*(60*12*$S$28/100)*D55/10000</f>
        <v>0.1381278024315</v>
      </c>
      <c r="P55" s="224">
        <f t="shared" si="23"/>
        <v>0.34330009376250004</v>
      </c>
      <c r="Q55" s="224">
        <f t="shared" si="23"/>
        <v>0.59370722097749995</v>
      </c>
      <c r="R55" s="228">
        <f t="shared" si="22"/>
        <v>0.78514750855799997</v>
      </c>
      <c r="S55" s="224">
        <f t="shared" si="22"/>
        <v>0.1381278024315</v>
      </c>
      <c r="T55" s="224">
        <f t="shared" si="22"/>
        <v>0.34330009376250004</v>
      </c>
      <c r="U55" s="224">
        <f t="shared" si="22"/>
        <v>0.59370722097749995</v>
      </c>
      <c r="V55" s="224">
        <f t="shared" si="22"/>
        <v>0.78514750855799997</v>
      </c>
      <c r="W55" s="273">
        <f t="shared" si="22"/>
        <v>0.97739556106499981</v>
      </c>
      <c r="X55" s="104"/>
    </row>
    <row r="56" spans="1:28" ht="15" thickBot="1" x14ac:dyDescent="0.35">
      <c r="A56" s="123"/>
      <c r="B56" s="310"/>
      <c r="C56" s="160" t="s">
        <v>38</v>
      </c>
      <c r="D56" s="213">
        <f>'Scar area'!C24</f>
        <v>9.0292499999999998E-2</v>
      </c>
      <c r="E56" s="214">
        <f>'Scar area'!D24</f>
        <v>0.25081249999999999</v>
      </c>
      <c r="F56" s="214">
        <f>'Scar area'!E24</f>
        <v>0.49159249999999999</v>
      </c>
      <c r="G56" s="215">
        <f>'Scar area'!F24</f>
        <v>0.81263249999999998</v>
      </c>
      <c r="H56" s="214">
        <f>'Scar area'!G24</f>
        <v>9.0292499999999998E-2</v>
      </c>
      <c r="I56" s="214">
        <f>'Scar area'!H24</f>
        <v>0.25081249999999999</v>
      </c>
      <c r="J56" s="214">
        <f>'Scar area'!I24</f>
        <v>0.49159249999999999</v>
      </c>
      <c r="K56" s="214">
        <f>'Scar area'!J24</f>
        <v>0.81263249999999998</v>
      </c>
      <c r="L56" s="214">
        <f>'Scar area'!K24</f>
        <v>1.2139325000000001</v>
      </c>
      <c r="M56" s="188"/>
      <c r="N56" s="189"/>
      <c r="O56" s="230">
        <f t="shared" si="23"/>
        <v>0.10737670780799999</v>
      </c>
      <c r="P56" s="231">
        <f t="shared" si="23"/>
        <v>0.26844176952000004</v>
      </c>
      <c r="Q56" s="231">
        <f t="shared" si="23"/>
        <v>0.46768521623039999</v>
      </c>
      <c r="R56" s="232">
        <f t="shared" si="22"/>
        <v>0.57983422216319991</v>
      </c>
      <c r="S56" s="231">
        <f t="shared" si="22"/>
        <v>0.10737670780799999</v>
      </c>
      <c r="T56" s="231">
        <f t="shared" si="22"/>
        <v>0.26844176952000004</v>
      </c>
      <c r="U56" s="231">
        <f t="shared" si="22"/>
        <v>0.46768521623039999</v>
      </c>
      <c r="V56" s="231">
        <f t="shared" si="22"/>
        <v>0.57983422216319991</v>
      </c>
      <c r="W56" s="274">
        <f t="shared" si="22"/>
        <v>0.72181009137600005</v>
      </c>
      <c r="X56" s="104"/>
    </row>
    <row r="57" spans="1:28" ht="15" customHeight="1" x14ac:dyDescent="0.3">
      <c r="A57" s="102"/>
      <c r="B57" s="103"/>
      <c r="C57" s="194"/>
      <c r="D57" s="200"/>
      <c r="E57" s="200"/>
      <c r="F57" s="201"/>
      <c r="G57" s="200"/>
      <c r="H57" s="200"/>
      <c r="I57" s="200"/>
      <c r="J57" s="200"/>
      <c r="K57" s="200"/>
      <c r="L57" s="200"/>
      <c r="M57" s="319" t="s">
        <v>101</v>
      </c>
      <c r="N57" s="320"/>
      <c r="O57" s="216"/>
      <c r="P57" s="197"/>
      <c r="Q57" s="198"/>
      <c r="R57" s="197"/>
      <c r="S57" s="197"/>
      <c r="T57" s="197"/>
      <c r="U57" s="197"/>
      <c r="V57" s="197"/>
      <c r="W57" s="199"/>
      <c r="X57" s="104"/>
    </row>
    <row r="58" spans="1:28" x14ac:dyDescent="0.3">
      <c r="A58" s="102"/>
      <c r="B58" s="103"/>
      <c r="C58" s="217" t="s">
        <v>99</v>
      </c>
      <c r="D58" s="103"/>
      <c r="E58" s="103"/>
      <c r="F58" s="218"/>
      <c r="G58" s="103"/>
      <c r="H58" s="103"/>
      <c r="I58" s="103"/>
      <c r="J58" s="103"/>
      <c r="K58" s="103"/>
      <c r="L58" s="103"/>
      <c r="M58" s="321"/>
      <c r="N58" s="322"/>
      <c r="O58" s="202"/>
      <c r="P58" s="202"/>
      <c r="Q58" s="203"/>
      <c r="R58" s="202"/>
      <c r="S58" s="202"/>
      <c r="T58" s="202"/>
      <c r="U58" s="202"/>
      <c r="V58" s="202"/>
      <c r="W58" s="204"/>
      <c r="X58" s="104"/>
    </row>
    <row r="59" spans="1:28" x14ac:dyDescent="0.3">
      <c r="A59" s="123"/>
      <c r="B59" s="310"/>
      <c r="C59" s="124" t="s">
        <v>14</v>
      </c>
      <c r="D59" s="219">
        <f>(O47*$D$31)/1000</f>
        <v>1.3917347085715922E-2</v>
      </c>
      <c r="E59" s="220">
        <f t="shared" ref="E59:L67" si="24">(P47*$D$31)/1000</f>
        <v>3.4999929255377621E-2</v>
      </c>
      <c r="F59" s="220">
        <f t="shared" si="24"/>
        <v>5.6415955601087336E-2</v>
      </c>
      <c r="G59" s="221">
        <f t="shared" si="24"/>
        <v>7.2985089495799044E-2</v>
      </c>
      <c r="H59" s="220">
        <f t="shared" si="24"/>
        <v>1.2082920177613197E-2</v>
      </c>
      <c r="I59" s="220">
        <f t="shared" si="24"/>
        <v>2.8433466597691845E-2</v>
      </c>
      <c r="J59" s="220">
        <f t="shared" si="24"/>
        <v>4.567440142928017E-2</v>
      </c>
      <c r="K59" s="220">
        <f t="shared" si="24"/>
        <v>6.7044943110353486E-2</v>
      </c>
      <c r="L59" s="222">
        <f t="shared" si="24"/>
        <v>5.6558289280154161E-2</v>
      </c>
      <c r="M59" s="177"/>
      <c r="N59" s="178"/>
      <c r="O59" s="173">
        <f>D59*365</f>
        <v>5.0798316862863118</v>
      </c>
      <c r="P59" s="174">
        <f t="shared" ref="P59:W68" si="25">E59*365</f>
        <v>12.774974178212831</v>
      </c>
      <c r="Q59" s="174">
        <f t="shared" si="25"/>
        <v>20.591823794396877</v>
      </c>
      <c r="R59" s="175">
        <f t="shared" si="25"/>
        <v>26.639557665966652</v>
      </c>
      <c r="S59" s="174">
        <f t="shared" si="25"/>
        <v>4.4102658648288173</v>
      </c>
      <c r="T59" s="174">
        <f t="shared" si="25"/>
        <v>10.378215308157523</v>
      </c>
      <c r="U59" s="174">
        <f t="shared" si="25"/>
        <v>16.671156521687262</v>
      </c>
      <c r="V59" s="174">
        <f t="shared" si="25"/>
        <v>24.471404235279021</v>
      </c>
      <c r="W59" s="176">
        <f t="shared" si="25"/>
        <v>20.643775587256268</v>
      </c>
      <c r="X59" s="104"/>
    </row>
    <row r="60" spans="1:28" x14ac:dyDescent="0.3">
      <c r="A60" s="123"/>
      <c r="B60" s="310"/>
      <c r="C60" s="129" t="s">
        <v>22</v>
      </c>
      <c r="D60" s="223">
        <f>(O48*$E$31)/1000</f>
        <v>1.7187969598954821E-2</v>
      </c>
      <c r="E60" s="224">
        <f>(P48*$E$31)/1000</f>
        <v>3.9746791965020713E-2</v>
      </c>
      <c r="F60" s="225"/>
      <c r="G60" s="226"/>
      <c r="H60" s="224">
        <f>(S48*$E$31)/1000</f>
        <v>1.5263934115140852E-2</v>
      </c>
      <c r="I60" s="224">
        <f>(T48*$E$31)/1000</f>
        <v>3.600176256084156E-2</v>
      </c>
      <c r="J60" s="225"/>
      <c r="K60" s="225"/>
      <c r="L60" s="227"/>
      <c r="M60" s="177"/>
      <c r="N60" s="178"/>
      <c r="O60" s="179">
        <f t="shared" ref="O60:O68" si="26">D60*365</f>
        <v>6.2736089036185092</v>
      </c>
      <c r="P60" s="180">
        <f t="shared" si="25"/>
        <v>14.507579067232561</v>
      </c>
      <c r="Q60" s="181"/>
      <c r="R60" s="182"/>
      <c r="S60" s="180">
        <f t="shared" si="25"/>
        <v>5.571335952026411</v>
      </c>
      <c r="T60" s="180">
        <f t="shared" si="25"/>
        <v>13.140643334707169</v>
      </c>
      <c r="U60" s="181"/>
      <c r="V60" s="181"/>
      <c r="W60" s="183"/>
      <c r="X60" s="104"/>
      <c r="Y60" s="187"/>
      <c r="Z60" s="187"/>
      <c r="AA60" s="187"/>
      <c r="AB60" s="187"/>
    </row>
    <row r="61" spans="1:28" x14ac:dyDescent="0.3">
      <c r="A61" s="308"/>
      <c r="B61" s="310"/>
      <c r="C61" s="129" t="s">
        <v>23</v>
      </c>
      <c r="D61" s="223">
        <f t="shared" ref="D61:E62" si="27">(O49*$E$31)/1000</f>
        <v>2.0924393804273234E-2</v>
      </c>
      <c r="E61" s="224">
        <f t="shared" si="27"/>
        <v>4.2067049066922602E-2</v>
      </c>
      <c r="F61" s="224">
        <f t="shared" ref="F61:F62" si="28">(Q49*$E$31)/1000</f>
        <v>6.8319340514903001E-2</v>
      </c>
      <c r="G61" s="228">
        <f t="shared" ref="G61:G62" si="29">(R49*$E$31)/1000</f>
        <v>8.957486639897258E-2</v>
      </c>
      <c r="H61" s="224">
        <f t="shared" ref="H61:H62" si="30">(S49*$E$31)/1000</f>
        <v>1.6739515043418592E-2</v>
      </c>
      <c r="I61" s="224">
        <f t="shared" ref="I61:I62" si="31">(T49*$E$31)/1000</f>
        <v>3.7696765990978084E-2</v>
      </c>
      <c r="J61" s="224">
        <f t="shared" ref="J61:J62" si="32">(U49*$E$31)/1000</f>
        <v>6.2580000817304804E-2</v>
      </c>
      <c r="K61" s="224">
        <f t="shared" ref="K61:K62" si="33">(V49*$E$31)/1000</f>
        <v>8.475962374848367E-2</v>
      </c>
      <c r="L61" s="227"/>
      <c r="M61" s="177"/>
      <c r="N61" s="178"/>
      <c r="O61" s="179">
        <f t="shared" si="26"/>
        <v>7.6374037385597306</v>
      </c>
      <c r="P61" s="180">
        <f t="shared" si="25"/>
        <v>15.35447290942675</v>
      </c>
      <c r="Q61" s="180">
        <f t="shared" si="25"/>
        <v>24.936559287939595</v>
      </c>
      <c r="R61" s="184">
        <f t="shared" si="25"/>
        <v>32.694826235624994</v>
      </c>
      <c r="S61" s="180">
        <f t="shared" si="25"/>
        <v>6.1099229908477861</v>
      </c>
      <c r="T61" s="180">
        <f t="shared" si="25"/>
        <v>13.759319586707001</v>
      </c>
      <c r="U61" s="180">
        <f t="shared" si="25"/>
        <v>22.841700298316255</v>
      </c>
      <c r="V61" s="180">
        <f t="shared" si="25"/>
        <v>30.937262668196539</v>
      </c>
      <c r="W61" s="183"/>
      <c r="X61" s="104"/>
      <c r="Y61" s="187"/>
      <c r="Z61" s="187"/>
      <c r="AA61" s="187"/>
      <c r="AB61" s="187"/>
    </row>
    <row r="62" spans="1:28" x14ac:dyDescent="0.3">
      <c r="A62" s="308"/>
      <c r="B62" s="310"/>
      <c r="C62" s="129" t="s">
        <v>24</v>
      </c>
      <c r="D62" s="223">
        <f t="shared" si="27"/>
        <v>2.9747657001577294E-2</v>
      </c>
      <c r="E62" s="224">
        <f t="shared" si="27"/>
        <v>6.1594610549764957E-2</v>
      </c>
      <c r="F62" s="224">
        <f t="shared" si="28"/>
        <v>9.631917958151795E-2</v>
      </c>
      <c r="G62" s="228">
        <f t="shared" si="29"/>
        <v>0.13432635062503656</v>
      </c>
      <c r="H62" s="224">
        <f t="shared" si="30"/>
        <v>2.3798125601261832E-2</v>
      </c>
      <c r="I62" s="224">
        <f t="shared" si="31"/>
        <v>5.5821806891324474E-2</v>
      </c>
      <c r="J62" s="224">
        <f t="shared" si="32"/>
        <v>8.9885735830178864E-2</v>
      </c>
      <c r="K62" s="224">
        <f t="shared" si="33"/>
        <v>0.13432635062503656</v>
      </c>
      <c r="L62" s="227"/>
      <c r="M62" s="177"/>
      <c r="N62" s="178"/>
      <c r="O62" s="179">
        <f t="shared" si="26"/>
        <v>10.857894805575713</v>
      </c>
      <c r="P62" s="180">
        <f t="shared" si="25"/>
        <v>22.482032850664208</v>
      </c>
      <c r="Q62" s="180">
        <f t="shared" si="25"/>
        <v>35.156500547254055</v>
      </c>
      <c r="R62" s="184">
        <f t="shared" si="25"/>
        <v>49.029117978138345</v>
      </c>
      <c r="S62" s="180">
        <f t="shared" si="25"/>
        <v>8.6863158444605695</v>
      </c>
      <c r="T62" s="180">
        <f t="shared" si="25"/>
        <v>20.374959515333433</v>
      </c>
      <c r="U62" s="180">
        <f t="shared" si="25"/>
        <v>32.808293578015288</v>
      </c>
      <c r="V62" s="180">
        <f t="shared" si="25"/>
        <v>49.029117978138345</v>
      </c>
      <c r="W62" s="183"/>
      <c r="X62" s="104"/>
      <c r="Y62" s="187"/>
      <c r="Z62" s="187"/>
      <c r="AA62" s="187"/>
      <c r="AB62" s="187"/>
    </row>
    <row r="63" spans="1:28" x14ac:dyDescent="0.3">
      <c r="A63" s="308"/>
      <c r="B63" s="131"/>
      <c r="C63" s="124" t="s">
        <v>15</v>
      </c>
      <c r="D63" s="219">
        <f t="shared" ref="D63:D67" si="34">(O51*$D$31)/1000</f>
        <v>3.8842217871467064E-2</v>
      </c>
      <c r="E63" s="220">
        <f t="shared" si="24"/>
        <v>9.5961506740122646E-2</v>
      </c>
      <c r="F63" s="220">
        <f t="shared" si="24"/>
        <v>0.16506504941315089</v>
      </c>
      <c r="G63" s="221">
        <f t="shared" si="24"/>
        <v>0.22506268905272017</v>
      </c>
      <c r="H63" s="220">
        <f t="shared" si="24"/>
        <v>3.4868576255689565E-2</v>
      </c>
      <c r="I63" s="220">
        <f t="shared" si="24"/>
        <v>8.5123464496934059E-2</v>
      </c>
      <c r="J63" s="220">
        <f t="shared" si="24"/>
        <v>0.14570460356111126</v>
      </c>
      <c r="K63" s="220">
        <f t="shared" si="24"/>
        <v>0.21106347693089239</v>
      </c>
      <c r="L63" s="222">
        <f t="shared" si="24"/>
        <v>0.25155113821495634</v>
      </c>
      <c r="M63" s="177"/>
      <c r="N63" s="178"/>
      <c r="O63" s="173">
        <f t="shared" si="26"/>
        <v>14.177409523085478</v>
      </c>
      <c r="P63" s="174">
        <f t="shared" si="25"/>
        <v>35.025949960144764</v>
      </c>
      <c r="Q63" s="174">
        <f t="shared" si="25"/>
        <v>60.248743035800075</v>
      </c>
      <c r="R63" s="175">
        <f t="shared" si="25"/>
        <v>82.147881504242861</v>
      </c>
      <c r="S63" s="174">
        <f t="shared" si="25"/>
        <v>12.727030333326692</v>
      </c>
      <c r="T63" s="174">
        <f t="shared" si="25"/>
        <v>31.070064541380933</v>
      </c>
      <c r="U63" s="174">
        <f t="shared" si="25"/>
        <v>53.182180299805609</v>
      </c>
      <c r="V63" s="174">
        <f t="shared" si="25"/>
        <v>77.038169079775727</v>
      </c>
      <c r="W63" s="176">
        <f t="shared" si="25"/>
        <v>91.81616544845906</v>
      </c>
      <c r="X63" s="104"/>
      <c r="Y63" s="187"/>
      <c r="Z63" s="187"/>
      <c r="AA63" s="187"/>
      <c r="AB63" s="187"/>
    </row>
    <row r="64" spans="1:28" x14ac:dyDescent="0.3">
      <c r="A64" s="308"/>
      <c r="B64" s="131"/>
      <c r="C64" s="129" t="s">
        <v>25</v>
      </c>
      <c r="D64" s="223">
        <f t="shared" si="34"/>
        <v>3.0937724561302199E-2</v>
      </c>
      <c r="E64" s="224">
        <f t="shared" si="24"/>
        <v>6.8690507315670002E-2</v>
      </c>
      <c r="F64" s="224">
        <f t="shared" si="24"/>
        <v>0.11258644111730819</v>
      </c>
      <c r="G64" s="226"/>
      <c r="H64" s="224">
        <f t="shared" si="24"/>
        <v>2.8726730109669869E-2</v>
      </c>
      <c r="I64" s="224">
        <f t="shared" si="24"/>
        <v>6.3786185068459483E-2</v>
      </c>
      <c r="J64" s="224">
        <f t="shared" si="24"/>
        <v>0.10539913436713017</v>
      </c>
      <c r="K64" s="225"/>
      <c r="L64" s="227"/>
      <c r="M64" s="177"/>
      <c r="N64" s="178"/>
      <c r="O64" s="179">
        <f t="shared" si="26"/>
        <v>11.292269464875302</v>
      </c>
      <c r="P64" s="180">
        <f t="shared" si="25"/>
        <v>25.07203517021955</v>
      </c>
      <c r="Q64" s="180">
        <f t="shared" si="25"/>
        <v>41.094051007817491</v>
      </c>
      <c r="R64" s="182"/>
      <c r="S64" s="180">
        <f t="shared" si="25"/>
        <v>10.485256490029503</v>
      </c>
      <c r="T64" s="180">
        <f t="shared" si="25"/>
        <v>23.281957549987712</v>
      </c>
      <c r="U64" s="180">
        <f t="shared" si="25"/>
        <v>38.47068404400251</v>
      </c>
      <c r="V64" s="181"/>
      <c r="W64" s="183"/>
      <c r="X64" s="104"/>
      <c r="Y64" s="187"/>
      <c r="Z64" s="187"/>
      <c r="AA64" s="187"/>
      <c r="AB64" s="187"/>
    </row>
    <row r="65" spans="1:28" x14ac:dyDescent="0.3">
      <c r="A65" s="308"/>
      <c r="B65" s="310"/>
      <c r="C65" s="134" t="s">
        <v>71</v>
      </c>
      <c r="D65" s="223">
        <f t="shared" si="34"/>
        <v>2.0157214373856005E-2</v>
      </c>
      <c r="E65" s="224">
        <f t="shared" si="24"/>
        <v>3.9494542051950007E-2</v>
      </c>
      <c r="F65" s="224">
        <f t="shared" si="24"/>
        <v>4.5073771030428006E-2</v>
      </c>
      <c r="G65" s="226"/>
      <c r="H65" s="224">
        <f t="shared" si="24"/>
        <v>1.7133632217777597E-2</v>
      </c>
      <c r="I65" s="224">
        <f t="shared" si="24"/>
        <v>3.3570360744157507E-2</v>
      </c>
      <c r="J65" s="224">
        <f t="shared" si="24"/>
        <v>3.8312705375863808E-2</v>
      </c>
      <c r="K65" s="225"/>
      <c r="L65" s="227"/>
      <c r="M65" s="177"/>
      <c r="N65" s="178"/>
      <c r="O65" s="179">
        <f t="shared" si="26"/>
        <v>7.3573832464574416</v>
      </c>
      <c r="P65" s="180">
        <f t="shared" si="25"/>
        <v>14.415507848961752</v>
      </c>
      <c r="Q65" s="180">
        <f t="shared" si="25"/>
        <v>16.451926426106223</v>
      </c>
      <c r="R65" s="182"/>
      <c r="S65" s="180">
        <f t="shared" si="25"/>
        <v>6.253775759488823</v>
      </c>
      <c r="T65" s="180">
        <f t="shared" si="25"/>
        <v>12.25318167161749</v>
      </c>
      <c r="U65" s="180">
        <f t="shared" si="25"/>
        <v>13.98413746219029</v>
      </c>
      <c r="V65" s="181"/>
      <c r="W65" s="183"/>
      <c r="X65" s="104"/>
      <c r="Y65" s="187"/>
      <c r="Z65" s="187"/>
      <c r="AA65" s="187"/>
      <c r="AB65" s="187"/>
    </row>
    <row r="66" spans="1:28" x14ac:dyDescent="0.3">
      <c r="A66" s="123"/>
      <c r="B66" s="310"/>
      <c r="C66" s="129" t="s">
        <v>36</v>
      </c>
      <c r="D66" s="224">
        <f t="shared" si="34"/>
        <v>2.5354795324500003E-2</v>
      </c>
      <c r="E66" s="224">
        <f t="shared" si="24"/>
        <v>6.2144106187499992E-2</v>
      </c>
      <c r="F66" s="224">
        <f t="shared" si="24"/>
        <v>0.1055621217105</v>
      </c>
      <c r="G66" s="228">
        <f t="shared" si="24"/>
        <v>0.14765439630149996</v>
      </c>
      <c r="H66" s="224">
        <f t="shared" si="24"/>
        <v>2.5354795324500003E-2</v>
      </c>
      <c r="I66" s="224">
        <f t="shared" si="24"/>
        <v>6.2144106187499992E-2</v>
      </c>
      <c r="J66" s="224">
        <f t="shared" si="24"/>
        <v>0.1055621217105</v>
      </c>
      <c r="K66" s="224">
        <f t="shared" si="24"/>
        <v>0.14765439630149996</v>
      </c>
      <c r="L66" s="224">
        <f t="shared" si="24"/>
        <v>0.20051831596499997</v>
      </c>
      <c r="M66" s="177"/>
      <c r="N66" s="185"/>
      <c r="O66" s="180">
        <f t="shared" si="26"/>
        <v>9.2545002934425007</v>
      </c>
      <c r="P66" s="180">
        <f t="shared" si="25"/>
        <v>22.682598758437496</v>
      </c>
      <c r="Q66" s="180">
        <f t="shared" si="25"/>
        <v>38.5301744243325</v>
      </c>
      <c r="R66" s="184">
        <f t="shared" si="25"/>
        <v>53.893854650047487</v>
      </c>
      <c r="S66" s="180">
        <f t="shared" si="25"/>
        <v>9.2545002934425007</v>
      </c>
      <c r="T66" s="180">
        <f t="shared" si="25"/>
        <v>22.682598758437496</v>
      </c>
      <c r="U66" s="180">
        <f t="shared" si="25"/>
        <v>38.5301744243325</v>
      </c>
      <c r="V66" s="180">
        <f t="shared" si="25"/>
        <v>53.893854650047487</v>
      </c>
      <c r="W66" s="186">
        <f t="shared" si="25"/>
        <v>73.18918532722499</v>
      </c>
      <c r="X66" s="104"/>
      <c r="Y66" s="187"/>
      <c r="Z66" s="187"/>
      <c r="AA66" s="187"/>
      <c r="AB66" s="187"/>
    </row>
    <row r="67" spans="1:28" x14ac:dyDescent="0.3">
      <c r="A67" s="123"/>
      <c r="B67" s="310"/>
      <c r="C67" s="129" t="s">
        <v>37</v>
      </c>
      <c r="D67" s="224">
        <f t="shared" si="34"/>
        <v>2.7625560486300001E-2</v>
      </c>
      <c r="E67" s="224">
        <f t="shared" si="24"/>
        <v>6.866001875250001E-2</v>
      </c>
      <c r="F67" s="224">
        <f t="shared" si="24"/>
        <v>0.11874144419549999</v>
      </c>
      <c r="G67" s="228">
        <f t="shared" si="24"/>
        <v>0.15702950171160002</v>
      </c>
      <c r="H67" s="224">
        <f t="shared" si="24"/>
        <v>2.7625560486300001E-2</v>
      </c>
      <c r="I67" s="224">
        <f t="shared" si="24"/>
        <v>6.866001875250001E-2</v>
      </c>
      <c r="J67" s="224">
        <f t="shared" si="24"/>
        <v>0.11874144419549999</v>
      </c>
      <c r="K67" s="224">
        <f t="shared" si="24"/>
        <v>0.15702950171160002</v>
      </c>
      <c r="L67" s="224">
        <f t="shared" si="24"/>
        <v>0.19547911221299996</v>
      </c>
      <c r="M67" s="177"/>
      <c r="N67" s="185"/>
      <c r="O67" s="180">
        <f t="shared" si="26"/>
        <v>10.0833295774995</v>
      </c>
      <c r="P67" s="180">
        <f t="shared" si="25"/>
        <v>25.060906844662505</v>
      </c>
      <c r="Q67" s="180">
        <f t="shared" si="25"/>
        <v>43.3406271313575</v>
      </c>
      <c r="R67" s="184">
        <f t="shared" si="25"/>
        <v>57.315768124734007</v>
      </c>
      <c r="S67" s="180">
        <f t="shared" si="25"/>
        <v>10.0833295774995</v>
      </c>
      <c r="T67" s="180">
        <f t="shared" si="25"/>
        <v>25.060906844662505</v>
      </c>
      <c r="U67" s="180">
        <f t="shared" si="25"/>
        <v>43.3406271313575</v>
      </c>
      <c r="V67" s="180">
        <f t="shared" si="25"/>
        <v>57.315768124734007</v>
      </c>
      <c r="W67" s="186">
        <f t="shared" si="25"/>
        <v>71.349875957744985</v>
      </c>
      <c r="X67" s="104"/>
      <c r="Y67" s="187"/>
      <c r="Z67" s="187"/>
      <c r="AA67" s="187"/>
      <c r="AB67" s="187"/>
    </row>
    <row r="68" spans="1:28" ht="15" thickBot="1" x14ac:dyDescent="0.35">
      <c r="A68" s="123"/>
      <c r="B68" s="310"/>
      <c r="C68" s="229" t="s">
        <v>38</v>
      </c>
      <c r="D68" s="230">
        <f>(O56*$E$31)/1000</f>
        <v>7.5163695465599992E-2</v>
      </c>
      <c r="E68" s="231">
        <f t="shared" ref="E68:L68" si="35">(P56*$E$31)/1000</f>
        <v>0.18790923866400003</v>
      </c>
      <c r="F68" s="231">
        <f t="shared" si="35"/>
        <v>0.32737965136127994</v>
      </c>
      <c r="G68" s="232">
        <f t="shared" si="35"/>
        <v>0.40588395551423989</v>
      </c>
      <c r="H68" s="231">
        <f t="shared" si="35"/>
        <v>7.5163695465599992E-2</v>
      </c>
      <c r="I68" s="231">
        <f t="shared" si="35"/>
        <v>0.18790923866400003</v>
      </c>
      <c r="J68" s="231">
        <f t="shared" si="35"/>
        <v>0.32737965136127994</v>
      </c>
      <c r="K68" s="231">
        <f t="shared" si="35"/>
        <v>0.40588395551423989</v>
      </c>
      <c r="L68" s="231">
        <f t="shared" si="35"/>
        <v>0.50526706396319998</v>
      </c>
      <c r="M68" s="188"/>
      <c r="N68" s="189"/>
      <c r="O68" s="190">
        <f t="shared" si="26"/>
        <v>27.434748844943996</v>
      </c>
      <c r="P68" s="191">
        <f t="shared" si="25"/>
        <v>68.586872112360012</v>
      </c>
      <c r="Q68" s="191">
        <f t="shared" si="25"/>
        <v>119.49357274686717</v>
      </c>
      <c r="R68" s="192">
        <f t="shared" si="25"/>
        <v>148.14764376269756</v>
      </c>
      <c r="S68" s="191">
        <f t="shared" si="25"/>
        <v>27.434748844943996</v>
      </c>
      <c r="T68" s="191">
        <f t="shared" si="25"/>
        <v>68.586872112360012</v>
      </c>
      <c r="U68" s="191">
        <f t="shared" si="25"/>
        <v>119.49357274686717</v>
      </c>
      <c r="V68" s="191">
        <f t="shared" si="25"/>
        <v>148.14764376269756</v>
      </c>
      <c r="W68" s="193">
        <f t="shared" si="25"/>
        <v>184.422478346568</v>
      </c>
      <c r="X68" s="104"/>
      <c r="Y68" s="187"/>
      <c r="Z68" s="187"/>
      <c r="AA68" s="187"/>
      <c r="AB68" s="187"/>
    </row>
    <row r="69" spans="1:28" ht="15" thickBot="1" x14ac:dyDescent="0.35">
      <c r="A69" s="233"/>
      <c r="B69" s="234"/>
      <c r="C69" s="234"/>
      <c r="D69" s="234"/>
      <c r="E69" s="234"/>
      <c r="F69" s="234"/>
      <c r="G69" s="234"/>
      <c r="H69" s="234"/>
      <c r="I69" s="234"/>
      <c r="J69" s="234"/>
      <c r="K69" s="234"/>
      <c r="L69" s="234"/>
      <c r="M69" s="234"/>
      <c r="N69" s="234"/>
      <c r="O69" s="234"/>
      <c r="P69" s="234"/>
      <c r="Q69" s="234"/>
      <c r="R69" s="234"/>
      <c r="S69" s="234"/>
      <c r="T69" s="234"/>
      <c r="U69" s="234"/>
      <c r="V69" s="234"/>
      <c r="W69" s="234"/>
      <c r="X69" s="235"/>
      <c r="Y69" s="187"/>
      <c r="Z69" s="187"/>
      <c r="AA69" s="187"/>
      <c r="AB69" s="187"/>
    </row>
  </sheetData>
  <mergeCells count="43">
    <mergeCell ref="B65:B68"/>
    <mergeCell ref="B35:B38"/>
    <mergeCell ref="A37:A41"/>
    <mergeCell ref="B41:B44"/>
    <mergeCell ref="M45:N46"/>
    <mergeCell ref="B47:B50"/>
    <mergeCell ref="A49:A53"/>
    <mergeCell ref="B53:B56"/>
    <mergeCell ref="M57:N58"/>
    <mergeCell ref="B59:B62"/>
    <mergeCell ref="A61:A65"/>
    <mergeCell ref="S33:W33"/>
    <mergeCell ref="C18:C19"/>
    <mergeCell ref="D18:G18"/>
    <mergeCell ref="H18:L18"/>
    <mergeCell ref="B20:B23"/>
    <mergeCell ref="C33:C34"/>
    <mergeCell ref="D33:G33"/>
    <mergeCell ref="H33:L33"/>
    <mergeCell ref="M33:N34"/>
    <mergeCell ref="O33:R33"/>
    <mergeCell ref="A22:A26"/>
    <mergeCell ref="AJ24:AP24"/>
    <mergeCell ref="Z25:AF25"/>
    <mergeCell ref="B26:B29"/>
    <mergeCell ref="O28:R28"/>
    <mergeCell ref="O29:R29"/>
    <mergeCell ref="M13:T13"/>
    <mergeCell ref="M14:T14"/>
    <mergeCell ref="M15:T15"/>
    <mergeCell ref="M16:T16"/>
    <mergeCell ref="M7:T7"/>
    <mergeCell ref="M8:T8"/>
    <mergeCell ref="M9:T9"/>
    <mergeCell ref="M10:T10"/>
    <mergeCell ref="M11:T11"/>
    <mergeCell ref="M12:T12"/>
    <mergeCell ref="M6:T6"/>
    <mergeCell ref="C2:T2"/>
    <mergeCell ref="D3:G3"/>
    <mergeCell ref="H3:L3"/>
    <mergeCell ref="M3:T4"/>
    <mergeCell ref="M5:T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vt:lpstr>
      <vt:lpstr>Bite rates</vt:lpstr>
      <vt:lpstr>Scar area</vt:lpstr>
      <vt:lpstr>Proportion of bites on turf</vt:lpstr>
      <vt:lpstr>Equations</vt:lpstr>
    </vt:vector>
  </TitlesOfParts>
  <Company>University of Exeter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Lange, Ines</dc:creator>
  <cp:lastModifiedBy>Perry, Chris</cp:lastModifiedBy>
  <dcterms:created xsi:type="dcterms:W3CDTF">2018-04-16T14:58:08Z</dcterms:created>
  <dcterms:modified xsi:type="dcterms:W3CDTF">2022-06-09T08:17:08Z</dcterms:modified>
</cp:coreProperties>
</file>