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Indian Ocean spreadsheets and files/"/>
    </mc:Choice>
  </mc:AlternateContent>
  <xr:revisionPtr revIDLastSave="0" documentId="8_{6A9E5FC5-CD56-4750-BE95-13F0590014FA}" xr6:coauthVersionLast="47" xr6:coauthVersionMax="47" xr10:uidLastSave="{00000000-0000-0000-0000-000000000000}"/>
  <bookViews>
    <workbookView xWindow="456" yWindow="960" windowWidth="17280" windowHeight="8964" xr2:uid="{00000000-000D-0000-FFFF-FFFF00000000}"/>
  </bookViews>
  <sheets>
    <sheet name="Notes" sheetId="6" r:id="rId1"/>
    <sheet name="Bite rates" sheetId="1" r:id="rId2"/>
    <sheet name="Scar volume" sheetId="3" r:id="rId3"/>
    <sheet name="Proportion leaving scars" sheetId="4" r:id="rId4"/>
    <sheet name="Equations" sheetId="9" r:id="rId5"/>
    <sheet name="Biomass length-weight relation"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9" l="1"/>
  <c r="J16" i="9"/>
  <c r="G16" i="9"/>
  <c r="F16" i="9"/>
  <c r="L48" i="4"/>
  <c r="L46" i="4"/>
  <c r="L20" i="4"/>
  <c r="J5" i="4"/>
  <c r="J13" i="4"/>
  <c r="J37" i="3"/>
  <c r="J34" i="3"/>
  <c r="J90" i="3"/>
  <c r="J5" i="3"/>
  <c r="J100" i="3"/>
  <c r="L88" i="3"/>
  <c r="M77" i="9" s="1"/>
  <c r="L89" i="3"/>
  <c r="M78" i="9" s="1"/>
  <c r="L93" i="3"/>
  <c r="M82" i="9" s="1"/>
  <c r="L94" i="3"/>
  <c r="M83" i="9" s="1"/>
  <c r="H181" i="1"/>
  <c r="I74" i="9" s="1"/>
  <c r="G181" i="1"/>
  <c r="H74" i="9" s="1"/>
  <c r="D181" i="1"/>
  <c r="C181" i="1"/>
  <c r="D180" i="1"/>
  <c r="I179" i="1"/>
  <c r="I178" i="1"/>
  <c r="G178" i="1"/>
  <c r="E178" i="1"/>
  <c r="J177" i="1"/>
  <c r="I177" i="1"/>
  <c r="H177" i="1"/>
  <c r="F177" i="1"/>
  <c r="E177" i="1"/>
  <c r="F176" i="1"/>
  <c r="G69" i="9" s="1"/>
  <c r="S69" i="9" s="1"/>
  <c r="E176" i="1"/>
  <c r="I175" i="1"/>
  <c r="D175" i="1"/>
  <c r="C175" i="1"/>
  <c r="H174" i="1"/>
  <c r="F174" i="1"/>
  <c r="D174" i="1"/>
  <c r="K173" i="1"/>
  <c r="J173" i="1"/>
  <c r="I173" i="1"/>
  <c r="H173" i="1"/>
  <c r="G173" i="1"/>
  <c r="F173" i="1"/>
  <c r="E173" i="1"/>
  <c r="D173" i="1"/>
  <c r="C173" i="1"/>
  <c r="I172" i="1"/>
  <c r="H172" i="1"/>
  <c r="G172" i="1"/>
  <c r="F172" i="1"/>
  <c r="K171" i="1"/>
  <c r="J171" i="1"/>
  <c r="I171" i="1"/>
  <c r="H171" i="1"/>
  <c r="G171" i="1"/>
  <c r="F171" i="1"/>
  <c r="E171" i="1"/>
  <c r="D171" i="1"/>
  <c r="C171" i="1"/>
  <c r="K170" i="1"/>
  <c r="J170" i="1"/>
  <c r="I170" i="1"/>
  <c r="H170" i="1"/>
  <c r="G170" i="1"/>
  <c r="F170" i="1"/>
  <c r="E170" i="1"/>
  <c r="D170" i="1"/>
  <c r="C170" i="1"/>
  <c r="G169" i="1"/>
  <c r="F169" i="1"/>
  <c r="E169" i="1"/>
  <c r="D169" i="1"/>
  <c r="J168" i="1"/>
  <c r="I168" i="1"/>
  <c r="H168" i="1"/>
  <c r="G168" i="1"/>
  <c r="F168" i="1"/>
  <c r="E168" i="1"/>
  <c r="D168" i="1"/>
  <c r="C168" i="1"/>
  <c r="I167" i="1"/>
  <c r="H167" i="1"/>
  <c r="G167" i="1"/>
  <c r="E167" i="1"/>
  <c r="D167" i="1"/>
  <c r="C167" i="1"/>
  <c r="J166" i="1"/>
  <c r="C166" i="1"/>
  <c r="E165" i="1"/>
  <c r="G164" i="1"/>
  <c r="F164" i="1"/>
  <c r="L159" i="1"/>
  <c r="K159" i="1"/>
  <c r="K169" i="1" s="1"/>
  <c r="J159" i="1"/>
  <c r="J169" i="1" s="1"/>
  <c r="I159" i="1"/>
  <c r="I169" i="1" s="1"/>
  <c r="H159" i="1"/>
  <c r="H169" i="1" s="1"/>
  <c r="G159" i="1"/>
  <c r="F159" i="1"/>
  <c r="E159" i="1"/>
  <c r="D159" i="1"/>
  <c r="C159" i="1"/>
  <c r="C169" i="1" s="1"/>
  <c r="L158" i="1"/>
  <c r="K157" i="1"/>
  <c r="J157" i="1"/>
  <c r="J172" i="1" s="1"/>
  <c r="I157" i="1"/>
  <c r="H157" i="1"/>
  <c r="G157" i="1"/>
  <c r="F157" i="1"/>
  <c r="E157" i="1"/>
  <c r="E172" i="1" s="1"/>
  <c r="D157" i="1"/>
  <c r="D172" i="1" s="1"/>
  <c r="C157" i="1"/>
  <c r="C172" i="1" s="1"/>
  <c r="J156" i="1"/>
  <c r="J174" i="1" s="1"/>
  <c r="K67" i="9" s="1"/>
  <c r="W67" i="9" s="1"/>
  <c r="W87" i="9" s="1"/>
  <c r="K107" i="9" s="1"/>
  <c r="W107" i="9" s="1"/>
  <c r="K23" i="9" s="1"/>
  <c r="I156" i="1"/>
  <c r="I174" i="1" s="1"/>
  <c r="H156" i="1"/>
  <c r="G156" i="1"/>
  <c r="G174" i="1" s="1"/>
  <c r="F156" i="1"/>
  <c r="E156" i="1"/>
  <c r="E174" i="1" s="1"/>
  <c r="D156" i="1"/>
  <c r="C156" i="1"/>
  <c r="C174" i="1" s="1"/>
  <c r="H155" i="1"/>
  <c r="H180" i="1" s="1"/>
  <c r="G155" i="1"/>
  <c r="D155" i="1"/>
  <c r="C155" i="1"/>
  <c r="C180" i="1" s="1"/>
  <c r="J154" i="1"/>
  <c r="I154" i="1"/>
  <c r="I176" i="1" s="1"/>
  <c r="H154" i="1"/>
  <c r="H176" i="1" s="1"/>
  <c r="G154" i="1"/>
  <c r="G176" i="1" s="1"/>
  <c r="F154" i="1"/>
  <c r="E154" i="1"/>
  <c r="D154" i="1"/>
  <c r="D176" i="1" s="1"/>
  <c r="C154" i="1"/>
  <c r="C176" i="1" s="1"/>
  <c r="I153" i="1"/>
  <c r="H153" i="1"/>
  <c r="H179" i="1" s="1"/>
  <c r="G153" i="1"/>
  <c r="G179" i="1" s="1"/>
  <c r="E153" i="1"/>
  <c r="E179" i="1" s="1"/>
  <c r="D153" i="1"/>
  <c r="D179" i="1" s="1"/>
  <c r="C153" i="1"/>
  <c r="C179" i="1" s="1"/>
  <c r="L148" i="1"/>
  <c r="J141" i="1"/>
  <c r="J176" i="1" s="1"/>
  <c r="K69" i="9" s="1"/>
  <c r="W69" i="9" s="1"/>
  <c r="F141" i="1"/>
  <c r="L131" i="1"/>
  <c r="L173" i="1" s="1"/>
  <c r="M66" i="9" s="1"/>
  <c r="L127" i="1"/>
  <c r="L171" i="1" s="1"/>
  <c r="M64" i="9" s="1"/>
  <c r="L120" i="1"/>
  <c r="L169" i="1" s="1"/>
  <c r="M62" i="9" s="1"/>
  <c r="H117" i="1"/>
  <c r="H178" i="1" s="1"/>
  <c r="G117" i="1"/>
  <c r="D117" i="1"/>
  <c r="D178" i="1" s="1"/>
  <c r="C117" i="1"/>
  <c r="C178" i="1" s="1"/>
  <c r="H113" i="1"/>
  <c r="G113" i="1"/>
  <c r="G177" i="1" s="1"/>
  <c r="D113" i="1"/>
  <c r="D177" i="1" s="1"/>
  <c r="C113" i="1"/>
  <c r="C177" i="1" s="1"/>
  <c r="G106" i="1"/>
  <c r="G180" i="1" s="1"/>
  <c r="C106" i="1"/>
  <c r="L100" i="1"/>
  <c r="L90" i="1"/>
  <c r="L170" i="1" s="1"/>
  <c r="M63" i="9" s="1"/>
  <c r="I85" i="1"/>
  <c r="H85" i="1"/>
  <c r="H175" i="1" s="1"/>
  <c r="G85" i="1"/>
  <c r="G175" i="1" s="1"/>
  <c r="E85" i="1"/>
  <c r="E175" i="1" s="1"/>
  <c r="D85" i="1"/>
  <c r="C85" i="1"/>
  <c r="L71" i="1"/>
  <c r="K69" i="1"/>
  <c r="K172" i="1" s="1"/>
  <c r="I64" i="1"/>
  <c r="I166" i="1" s="1"/>
  <c r="H64" i="1"/>
  <c r="H166" i="1" s="1"/>
  <c r="G64" i="1"/>
  <c r="G166" i="1" s="1"/>
  <c r="E64" i="1"/>
  <c r="E166" i="1" s="1"/>
  <c r="D64" i="1"/>
  <c r="D166" i="1" s="1"/>
  <c r="C64" i="1"/>
  <c r="L63" i="1"/>
  <c r="K63" i="1"/>
  <c r="J63" i="1"/>
  <c r="I63" i="1"/>
  <c r="H63" i="1"/>
  <c r="G63" i="1"/>
  <c r="G165" i="1" s="1"/>
  <c r="F63" i="1"/>
  <c r="F165" i="1" s="1"/>
  <c r="E63" i="1"/>
  <c r="D63" i="1"/>
  <c r="C63" i="1"/>
  <c r="C165" i="1" s="1"/>
  <c r="L62" i="1"/>
  <c r="K62" i="1"/>
  <c r="K164" i="1" s="1"/>
  <c r="J62" i="1"/>
  <c r="J164" i="1" s="1"/>
  <c r="I62" i="1"/>
  <c r="I164" i="1" s="1"/>
  <c r="H62" i="1"/>
  <c r="H164" i="1" s="1"/>
  <c r="G62" i="1"/>
  <c r="F62" i="1"/>
  <c r="E62" i="1"/>
  <c r="E164" i="1" s="1"/>
  <c r="D62" i="1"/>
  <c r="D164" i="1" s="1"/>
  <c r="C62" i="1"/>
  <c r="C164" i="1" s="1"/>
  <c r="L58" i="1"/>
  <c r="L56" i="1"/>
  <c r="L53" i="1"/>
  <c r="K53" i="1"/>
  <c r="J43" i="1"/>
  <c r="I43" i="1"/>
  <c r="I165" i="1" s="1"/>
  <c r="F43" i="1"/>
  <c r="E43" i="1"/>
  <c r="L36" i="1"/>
  <c r="L164" i="1" s="1"/>
  <c r="M57" i="9" s="1"/>
  <c r="Y57" i="9" s="1"/>
  <c r="L34" i="1"/>
  <c r="L165" i="1" s="1"/>
  <c r="M58" i="9" s="1"/>
  <c r="Y58" i="9" s="1"/>
  <c r="K34" i="1"/>
  <c r="K165" i="1" s="1"/>
  <c r="K168" i="1" s="1"/>
  <c r="J34" i="1"/>
  <c r="J165" i="1" s="1"/>
  <c r="I34" i="1"/>
  <c r="H34" i="1"/>
  <c r="H165" i="1" s="1"/>
  <c r="F34" i="1"/>
  <c r="E34" i="1"/>
  <c r="D34" i="1"/>
  <c r="D165" i="1" s="1"/>
  <c r="L29" i="1"/>
  <c r="L28" i="1"/>
  <c r="L24" i="1"/>
  <c r="L23" i="1"/>
  <c r="L16" i="1"/>
  <c r="J69" i="3"/>
  <c r="F69" i="3"/>
  <c r="F100" i="3"/>
  <c r="G89" i="9" s="1"/>
  <c r="K46" i="9"/>
  <c r="G46" i="9"/>
  <c r="J34" i="4"/>
  <c r="J51" i="4" s="1"/>
  <c r="F34" i="4"/>
  <c r="F51" i="4"/>
  <c r="J101" i="3"/>
  <c r="J83" i="3"/>
  <c r="F83" i="3"/>
  <c r="H51" i="9"/>
  <c r="I51" i="9"/>
  <c r="K44" i="9"/>
  <c r="G44" i="9"/>
  <c r="K87" i="9"/>
  <c r="G87" i="9"/>
  <c r="J21" i="4"/>
  <c r="J49" i="4"/>
  <c r="J32" i="4"/>
  <c r="G67" i="9"/>
  <c r="S67" i="9" s="1"/>
  <c r="S87" i="9" s="1"/>
  <c r="G107" i="9" s="1"/>
  <c r="S107" i="9" s="1"/>
  <c r="G23" i="9" s="1"/>
  <c r="K6" i="3"/>
  <c r="L6" i="3"/>
  <c r="C89" i="3"/>
  <c r="D88" i="3"/>
  <c r="E88" i="3"/>
  <c r="F88" i="3"/>
  <c r="G88" i="3"/>
  <c r="H88" i="3"/>
  <c r="I88" i="3"/>
  <c r="J88" i="3"/>
  <c r="K88" i="3"/>
  <c r="C88" i="3"/>
  <c r="L33" i="3"/>
  <c r="M39" i="9"/>
  <c r="M40" i="9"/>
  <c r="M41" i="9"/>
  <c r="M43" i="9"/>
  <c r="M35" i="9"/>
  <c r="M34" i="9"/>
  <c r="C103" i="3"/>
  <c r="C98" i="3"/>
  <c r="F101" i="3"/>
  <c r="Y66" i="9" l="1"/>
  <c r="J41" i="4"/>
  <c r="Y64" i="9"/>
  <c r="Y63" i="9"/>
  <c r="Y83" i="9" s="1"/>
  <c r="M103" i="9" s="1"/>
  <c r="Y103" i="9" s="1"/>
  <c r="M21" i="9" s="1"/>
  <c r="Y62" i="9"/>
  <c r="Y82" i="9" s="1"/>
  <c r="M102" i="9" s="1"/>
  <c r="Y102" i="9" s="1"/>
  <c r="M26" i="9" s="1"/>
  <c r="K89" i="9"/>
  <c r="W89" i="9" s="1"/>
  <c r="K109" i="9" s="1"/>
  <c r="W109" i="9" s="1"/>
  <c r="K29" i="9" s="1"/>
  <c r="S89" i="9"/>
  <c r="G109" i="9" s="1"/>
  <c r="S109" i="9" s="1"/>
  <c r="G29" i="9" s="1"/>
  <c r="Y78" i="9"/>
  <c r="M98" i="9" s="1"/>
  <c r="Y98" i="9" s="1"/>
  <c r="M14" i="9" s="1"/>
  <c r="Y77" i="9"/>
  <c r="M97" i="9" s="1"/>
  <c r="Y97" i="9" s="1"/>
  <c r="M8" i="9" s="1"/>
  <c r="E50" i="4" l="1"/>
  <c r="F49" i="4"/>
  <c r="E99" i="3"/>
  <c r="E100" i="3"/>
  <c r="C99" i="3"/>
  <c r="J43" i="3"/>
  <c r="J98" i="3" s="1"/>
  <c r="F43" i="3"/>
  <c r="F98" i="3"/>
  <c r="J65" i="3"/>
  <c r="F65" i="3"/>
  <c r="G98" i="3"/>
  <c r="H98" i="3"/>
  <c r="I98" i="3"/>
  <c r="D98" i="3"/>
  <c r="E98" i="3"/>
  <c r="F21" i="4"/>
  <c r="F32" i="4"/>
  <c r="L44" i="4"/>
  <c r="L45" i="4" s="1"/>
  <c r="L39" i="4"/>
  <c r="L40" i="4"/>
  <c r="L28" i="4"/>
  <c r="L14" i="4"/>
  <c r="L9" i="4"/>
  <c r="L32" i="3"/>
  <c r="L36" i="3"/>
  <c r="L44" i="3"/>
  <c r="L59" i="3"/>
  <c r="L75" i="3"/>
  <c r="L80" i="3"/>
  <c r="C105" i="3" l="1"/>
  <c r="C32" i="3" l="1"/>
  <c r="D94" i="9" l="1"/>
  <c r="L65" i="9"/>
  <c r="D74" i="9"/>
  <c r="G32" i="4"/>
  <c r="H32" i="4"/>
  <c r="I32" i="4"/>
  <c r="C32" i="4"/>
  <c r="D32" i="4"/>
  <c r="E32" i="4"/>
  <c r="H35" i="4"/>
  <c r="G35" i="4"/>
  <c r="G55" i="4" s="1"/>
  <c r="C35" i="4"/>
  <c r="D35" i="4"/>
  <c r="D55" i="4" s="1"/>
  <c r="E50" i="9" s="1"/>
  <c r="C33" i="4"/>
  <c r="D33" i="4"/>
  <c r="D54" i="4" s="1"/>
  <c r="D53" i="4" s="1"/>
  <c r="E48" i="9" s="1"/>
  <c r="E33" i="4"/>
  <c r="C34" i="4"/>
  <c r="C51" i="4" s="1"/>
  <c r="D46" i="9" s="1"/>
  <c r="D34" i="4"/>
  <c r="E34" i="4"/>
  <c r="G33" i="4"/>
  <c r="H33" i="4"/>
  <c r="H54" i="4" s="1"/>
  <c r="I33" i="4"/>
  <c r="G34" i="4"/>
  <c r="H34" i="4"/>
  <c r="I34" i="4"/>
  <c r="I51" i="4" s="1"/>
  <c r="J46" i="9" s="1"/>
  <c r="D31" i="4"/>
  <c r="E31" i="4"/>
  <c r="F31" i="4"/>
  <c r="H31" i="4"/>
  <c r="I31" i="4"/>
  <c r="J31" i="4"/>
  <c r="K31" i="4"/>
  <c r="C13" i="4"/>
  <c r="D13" i="4"/>
  <c r="E13" i="4"/>
  <c r="G13" i="4"/>
  <c r="H13" i="4"/>
  <c r="I13" i="4"/>
  <c r="D14" i="4"/>
  <c r="E14" i="4"/>
  <c r="F14" i="4"/>
  <c r="G14" i="4"/>
  <c r="H14" i="4"/>
  <c r="I14" i="4"/>
  <c r="J14" i="4"/>
  <c r="K14" i="4"/>
  <c r="D12" i="4"/>
  <c r="E12" i="4"/>
  <c r="F12" i="4"/>
  <c r="G12" i="4"/>
  <c r="H12" i="4"/>
  <c r="I12" i="4"/>
  <c r="J12" i="4"/>
  <c r="K12" i="4"/>
  <c r="C12" i="4"/>
  <c r="E37" i="3"/>
  <c r="D37" i="3"/>
  <c r="C37" i="3"/>
  <c r="G37" i="3"/>
  <c r="H37" i="3"/>
  <c r="I37" i="3"/>
  <c r="F36" i="3"/>
  <c r="G36" i="3"/>
  <c r="H36" i="3"/>
  <c r="I36" i="3"/>
  <c r="J36" i="3"/>
  <c r="K36" i="3"/>
  <c r="E36" i="3"/>
  <c r="D36" i="3"/>
  <c r="C36" i="3"/>
  <c r="K42" i="3"/>
  <c r="K70" i="3"/>
  <c r="C80" i="3"/>
  <c r="C44" i="3"/>
  <c r="C59" i="3"/>
  <c r="C75" i="3"/>
  <c r="G84" i="3"/>
  <c r="G104" i="3" s="1"/>
  <c r="H93" i="9" s="1"/>
  <c r="H84" i="3"/>
  <c r="C84" i="3"/>
  <c r="C104" i="3" s="1"/>
  <c r="D93" i="9" s="1"/>
  <c r="D84" i="3"/>
  <c r="C82" i="3"/>
  <c r="D82" i="3"/>
  <c r="E82" i="3"/>
  <c r="C83" i="3"/>
  <c r="C100" i="3" s="1"/>
  <c r="D89" i="9" s="1"/>
  <c r="D83" i="3"/>
  <c r="D100" i="3" s="1"/>
  <c r="E89" i="9" s="1"/>
  <c r="E83" i="3"/>
  <c r="G82" i="3"/>
  <c r="H82" i="3"/>
  <c r="I82" i="3"/>
  <c r="G83" i="3"/>
  <c r="H83" i="3"/>
  <c r="H100" i="3" s="1"/>
  <c r="I89" i="9" s="1"/>
  <c r="I83" i="3"/>
  <c r="I100" i="3" s="1"/>
  <c r="J89" i="9" s="1"/>
  <c r="C81" i="3"/>
  <c r="D81" i="3"/>
  <c r="E81" i="3"/>
  <c r="F81" i="3"/>
  <c r="G81" i="3"/>
  <c r="H81" i="3"/>
  <c r="I81" i="3"/>
  <c r="J81" i="3"/>
  <c r="K81" i="3"/>
  <c r="D80" i="3"/>
  <c r="E80" i="3"/>
  <c r="F80" i="3"/>
  <c r="G80" i="3"/>
  <c r="H80" i="3"/>
  <c r="I80" i="3"/>
  <c r="J80" i="3"/>
  <c r="K80" i="3"/>
  <c r="E60" i="9"/>
  <c r="F60" i="9"/>
  <c r="H60" i="9"/>
  <c r="I60" i="9"/>
  <c r="J60" i="9"/>
  <c r="E61" i="9"/>
  <c r="F61" i="9"/>
  <c r="G61" i="9"/>
  <c r="H61" i="9"/>
  <c r="I61" i="9"/>
  <c r="J61" i="9"/>
  <c r="K61" i="9"/>
  <c r="E63" i="9"/>
  <c r="F63" i="9"/>
  <c r="G63" i="9"/>
  <c r="H63" i="9"/>
  <c r="I63" i="9"/>
  <c r="J63" i="9"/>
  <c r="K63" i="9"/>
  <c r="L63" i="9"/>
  <c r="E64" i="9"/>
  <c r="F64" i="9"/>
  <c r="G64" i="9"/>
  <c r="H64" i="9"/>
  <c r="I64" i="9"/>
  <c r="J64" i="9"/>
  <c r="K64" i="9"/>
  <c r="L64" i="9"/>
  <c r="E66" i="9"/>
  <c r="F66" i="9"/>
  <c r="G66" i="9"/>
  <c r="H66" i="9"/>
  <c r="I66" i="9"/>
  <c r="J66" i="9"/>
  <c r="K66" i="9"/>
  <c r="L66" i="9"/>
  <c r="J69" i="9"/>
  <c r="F71" i="9"/>
  <c r="J71" i="9"/>
  <c r="E74" i="9"/>
  <c r="D66" i="9"/>
  <c r="L62" i="9"/>
  <c r="K62" i="9"/>
  <c r="J62" i="9"/>
  <c r="I62" i="9"/>
  <c r="H62" i="9"/>
  <c r="G62" i="9"/>
  <c r="F62" i="9"/>
  <c r="E62" i="9"/>
  <c r="D62" i="9"/>
  <c r="K65" i="9"/>
  <c r="J65" i="9"/>
  <c r="I65" i="9"/>
  <c r="H65" i="9"/>
  <c r="G65" i="9"/>
  <c r="F65" i="9"/>
  <c r="E65" i="9"/>
  <c r="D65" i="9"/>
  <c r="I67" i="9"/>
  <c r="H67" i="9"/>
  <c r="E67" i="9"/>
  <c r="D67" i="9"/>
  <c r="I73" i="9"/>
  <c r="E73" i="9"/>
  <c r="I69" i="9"/>
  <c r="H69" i="9"/>
  <c r="F69" i="9"/>
  <c r="E69" i="9"/>
  <c r="D69" i="9"/>
  <c r="P69" i="9" s="1"/>
  <c r="E72" i="9"/>
  <c r="F72" i="9"/>
  <c r="H72" i="9"/>
  <c r="I72" i="9"/>
  <c r="J72" i="9"/>
  <c r="D59" i="9"/>
  <c r="E59" i="9"/>
  <c r="F59" i="9"/>
  <c r="H59" i="9"/>
  <c r="I59" i="9"/>
  <c r="J59" i="9"/>
  <c r="D58" i="9"/>
  <c r="H58" i="9"/>
  <c r="H57" i="9"/>
  <c r="I57" i="9"/>
  <c r="J57" i="9"/>
  <c r="K57" i="9"/>
  <c r="L57" i="9"/>
  <c r="E57" i="9"/>
  <c r="F57" i="9"/>
  <c r="G57" i="9"/>
  <c r="D57" i="9"/>
  <c r="K40" i="4"/>
  <c r="L35" i="9" s="1"/>
  <c r="D72" i="9"/>
  <c r="D63" i="9"/>
  <c r="AD106" i="9"/>
  <c r="AB105" i="9"/>
  <c r="AD104" i="9"/>
  <c r="AB104" i="9"/>
  <c r="AD103" i="9"/>
  <c r="AB103" i="9"/>
  <c r="AB102" i="9"/>
  <c r="AD101" i="9"/>
  <c r="AC101" i="9"/>
  <c r="AE99" i="9"/>
  <c r="AD99" i="9"/>
  <c r="AB99" i="9"/>
  <c r="AA99" i="9"/>
  <c r="AE98" i="9"/>
  <c r="AD98" i="9"/>
  <c r="AC98" i="9"/>
  <c r="AB98" i="9"/>
  <c r="AA98" i="9"/>
  <c r="F88" i="9"/>
  <c r="H55" i="4"/>
  <c r="I50" i="9" s="1"/>
  <c r="C55" i="4"/>
  <c r="D50" i="9" s="1"/>
  <c r="I54" i="4"/>
  <c r="J49" i="9" s="1"/>
  <c r="G54" i="4"/>
  <c r="G53" i="4" s="1"/>
  <c r="H48" i="9" s="1"/>
  <c r="E54" i="4"/>
  <c r="E53" i="4" s="1"/>
  <c r="F48" i="9" s="1"/>
  <c r="C54" i="4"/>
  <c r="D49" i="9" s="1"/>
  <c r="I21" i="4"/>
  <c r="I49" i="4" s="1"/>
  <c r="J44" i="9" s="1"/>
  <c r="H21" i="4"/>
  <c r="G21" i="4"/>
  <c r="G49" i="4" s="1"/>
  <c r="H44" i="9" s="1"/>
  <c r="E21" i="4"/>
  <c r="E49" i="4" s="1"/>
  <c r="F44" i="9" s="1"/>
  <c r="D21" i="4"/>
  <c r="D49" i="4" s="1"/>
  <c r="E44" i="9" s="1"/>
  <c r="C21" i="4"/>
  <c r="C49" i="4" s="1"/>
  <c r="D44" i="9" s="1"/>
  <c r="H51" i="4"/>
  <c r="I46" i="9" s="1"/>
  <c r="G51" i="4"/>
  <c r="H46" i="9" s="1"/>
  <c r="D51" i="4"/>
  <c r="E46" i="9" s="1"/>
  <c r="E51" i="4"/>
  <c r="F46" i="9" s="1"/>
  <c r="K39" i="4"/>
  <c r="L34" i="9" s="1"/>
  <c r="H104" i="3"/>
  <c r="I93" i="9" s="1"/>
  <c r="G100" i="3"/>
  <c r="H89" i="9" s="1"/>
  <c r="D104" i="3"/>
  <c r="E93" i="9" s="1"/>
  <c r="F89" i="9"/>
  <c r="E5" i="4"/>
  <c r="E41" i="4" s="1"/>
  <c r="E42" i="4" s="1"/>
  <c r="F37" i="9" s="1"/>
  <c r="K75" i="3"/>
  <c r="J75" i="3"/>
  <c r="I75" i="3"/>
  <c r="H75" i="3"/>
  <c r="G75" i="3"/>
  <c r="F75" i="3"/>
  <c r="E75" i="3"/>
  <c r="D75" i="3"/>
  <c r="I73" i="3"/>
  <c r="H73" i="3"/>
  <c r="H103" i="3" s="1"/>
  <c r="I92" i="9" s="1"/>
  <c r="G73" i="3"/>
  <c r="E73" i="3"/>
  <c r="D73" i="3"/>
  <c r="D103" i="3"/>
  <c r="E92" i="9" s="1"/>
  <c r="C73" i="3"/>
  <c r="J70" i="3"/>
  <c r="I70" i="3"/>
  <c r="I42" i="3"/>
  <c r="H70" i="3"/>
  <c r="G70" i="3"/>
  <c r="F70" i="3"/>
  <c r="E70" i="3"/>
  <c r="E42" i="3"/>
  <c r="D70" i="3"/>
  <c r="C70" i="3"/>
  <c r="I65" i="3"/>
  <c r="H65" i="3"/>
  <c r="H43" i="3"/>
  <c r="I87" i="9" s="1"/>
  <c r="G65" i="3"/>
  <c r="E65" i="3"/>
  <c r="E43" i="3"/>
  <c r="D65" i="3"/>
  <c r="C65" i="3"/>
  <c r="I34" i="3"/>
  <c r="H34" i="3"/>
  <c r="G34" i="3"/>
  <c r="E34" i="3"/>
  <c r="D34" i="3"/>
  <c r="C34" i="3"/>
  <c r="K33" i="3"/>
  <c r="J33" i="3"/>
  <c r="I33" i="3"/>
  <c r="H33" i="3"/>
  <c r="G33" i="3"/>
  <c r="F33" i="3"/>
  <c r="E33" i="3"/>
  <c r="D33" i="3"/>
  <c r="C33" i="3"/>
  <c r="K32" i="3"/>
  <c r="L77" i="9" s="1"/>
  <c r="J32" i="3"/>
  <c r="K77" i="9" s="1"/>
  <c r="I32" i="3"/>
  <c r="J77" i="9" s="1"/>
  <c r="H32" i="3"/>
  <c r="I77" i="9" s="1"/>
  <c r="G32" i="3"/>
  <c r="H77" i="9"/>
  <c r="F32" i="3"/>
  <c r="G77" i="9" s="1"/>
  <c r="E32" i="3"/>
  <c r="F77" i="9" s="1"/>
  <c r="D32" i="3"/>
  <c r="E77" i="9" s="1"/>
  <c r="D77" i="9"/>
  <c r="H105" i="3"/>
  <c r="I94" i="9" s="1"/>
  <c r="G105" i="3"/>
  <c r="H94" i="9" s="1"/>
  <c r="D105" i="3"/>
  <c r="E94" i="9" s="1"/>
  <c r="I101" i="3"/>
  <c r="J90" i="9" s="1"/>
  <c r="H101" i="3"/>
  <c r="I90" i="9" s="1"/>
  <c r="G101" i="3"/>
  <c r="H90" i="9" s="1"/>
  <c r="D101" i="3"/>
  <c r="E90" i="9" s="1"/>
  <c r="E101" i="3"/>
  <c r="F90" i="9" s="1"/>
  <c r="C101" i="3"/>
  <c r="D90" i="9" s="1"/>
  <c r="D94" i="3"/>
  <c r="E83" i="9" s="1"/>
  <c r="I99" i="3"/>
  <c r="J88" i="9" s="1"/>
  <c r="H94" i="3"/>
  <c r="I83" i="9" s="1"/>
  <c r="E5" i="3"/>
  <c r="D61" i="9"/>
  <c r="D64" i="9"/>
  <c r="D60" i="9"/>
  <c r="I56" i="3"/>
  <c r="I102" i="3" s="1"/>
  <c r="J91" i="9" s="1"/>
  <c r="H56" i="3"/>
  <c r="H102" i="3" s="1"/>
  <c r="I91" i="9" s="1"/>
  <c r="G56" i="3"/>
  <c r="G102" i="3" s="1"/>
  <c r="H91" i="9" s="1"/>
  <c r="E56" i="3"/>
  <c r="E102" i="3" s="1"/>
  <c r="F91" i="9" s="1"/>
  <c r="D56" i="3"/>
  <c r="D102" i="3" s="1"/>
  <c r="E91" i="9" s="1"/>
  <c r="C56" i="3"/>
  <c r="C102" i="3" s="1"/>
  <c r="D91" i="9" s="1"/>
  <c r="I71" i="9"/>
  <c r="H71" i="9"/>
  <c r="E71" i="9"/>
  <c r="D71" i="9"/>
  <c r="K94" i="3"/>
  <c r="L83" i="9" s="1"/>
  <c r="K22" i="4"/>
  <c r="J22" i="4"/>
  <c r="I22" i="4"/>
  <c r="H22" i="4"/>
  <c r="G22" i="4"/>
  <c r="F22" i="4"/>
  <c r="E22" i="4"/>
  <c r="D22" i="4"/>
  <c r="C22" i="4"/>
  <c r="K20" i="4"/>
  <c r="K47" i="4" s="1"/>
  <c r="J20" i="4"/>
  <c r="J47" i="4" s="1"/>
  <c r="I20" i="4"/>
  <c r="I47" i="4" s="1"/>
  <c r="H20" i="4"/>
  <c r="H47" i="4" s="1"/>
  <c r="G20" i="4"/>
  <c r="G47" i="4" s="1"/>
  <c r="F20" i="4"/>
  <c r="F47" i="4" s="1"/>
  <c r="F48" i="4" s="1"/>
  <c r="G43" i="9" s="1"/>
  <c r="E20" i="4"/>
  <c r="E47" i="4" s="1"/>
  <c r="D20" i="4"/>
  <c r="D47" i="4" s="1"/>
  <c r="I25" i="4"/>
  <c r="I50" i="4" s="1"/>
  <c r="J45" i="9" s="1"/>
  <c r="H25" i="4"/>
  <c r="H50" i="4" s="1"/>
  <c r="I45" i="9" s="1"/>
  <c r="G25" i="4"/>
  <c r="G50" i="4" s="1"/>
  <c r="H45" i="9" s="1"/>
  <c r="E25" i="4"/>
  <c r="F45" i="9" s="1"/>
  <c r="D25" i="4"/>
  <c r="D50" i="4" s="1"/>
  <c r="E45" i="9" s="1"/>
  <c r="C25" i="4"/>
  <c r="C50" i="4" s="1"/>
  <c r="D45" i="9" s="1"/>
  <c r="C20" i="4"/>
  <c r="C47" i="4" s="1"/>
  <c r="K9" i="4"/>
  <c r="K43" i="4" s="1"/>
  <c r="L38" i="9" s="1"/>
  <c r="J9" i="4"/>
  <c r="J43" i="4" s="1"/>
  <c r="K38" i="9" s="1"/>
  <c r="I9" i="4"/>
  <c r="I43" i="4" s="1"/>
  <c r="J38" i="9" s="1"/>
  <c r="H9" i="4"/>
  <c r="H43" i="4" s="1"/>
  <c r="I38" i="9" s="1"/>
  <c r="G9" i="4"/>
  <c r="G43" i="4" s="1"/>
  <c r="H38" i="9" s="1"/>
  <c r="F9" i="4"/>
  <c r="F43" i="4" s="1"/>
  <c r="G38" i="9" s="1"/>
  <c r="E9" i="4"/>
  <c r="E43" i="4" s="1"/>
  <c r="F38" i="9" s="1"/>
  <c r="D9" i="4"/>
  <c r="D43" i="4" s="1"/>
  <c r="E38" i="9" s="1"/>
  <c r="C9" i="4"/>
  <c r="C43" i="4" s="1"/>
  <c r="D38" i="9" s="1"/>
  <c r="F28" i="4"/>
  <c r="K28" i="4"/>
  <c r="J28" i="4"/>
  <c r="I28" i="4"/>
  <c r="I44" i="4" s="1"/>
  <c r="H28" i="4"/>
  <c r="G28" i="4"/>
  <c r="E28" i="4"/>
  <c r="D28" i="4"/>
  <c r="C28" i="4"/>
  <c r="J6" i="4"/>
  <c r="J40" i="4" s="1"/>
  <c r="K35" i="9" s="1"/>
  <c r="I6" i="4"/>
  <c r="I40" i="4" s="1"/>
  <c r="H6" i="4"/>
  <c r="H40" i="4" s="1"/>
  <c r="G6" i="4"/>
  <c r="G40" i="4" s="1"/>
  <c r="G39" i="4" s="1"/>
  <c r="H34" i="9" s="1"/>
  <c r="F6" i="4"/>
  <c r="F40" i="4" s="1"/>
  <c r="E6" i="4"/>
  <c r="E40" i="4" s="1"/>
  <c r="D6" i="4"/>
  <c r="C6" i="4"/>
  <c r="I5" i="4"/>
  <c r="I41" i="4" s="1"/>
  <c r="H5" i="4"/>
  <c r="G5" i="4"/>
  <c r="G41" i="4" s="1"/>
  <c r="D5" i="4"/>
  <c r="D41" i="4" s="1"/>
  <c r="C5" i="4"/>
  <c r="C41" i="4" s="1"/>
  <c r="J6" i="3"/>
  <c r="J89" i="3"/>
  <c r="K78" i="9" s="1"/>
  <c r="I6" i="3"/>
  <c r="H6" i="3"/>
  <c r="G6" i="3"/>
  <c r="G89" i="3" s="1"/>
  <c r="H78" i="9" s="1"/>
  <c r="F6" i="3"/>
  <c r="E6" i="3"/>
  <c r="D6" i="3"/>
  <c r="C6" i="3"/>
  <c r="I5" i="3"/>
  <c r="H5" i="3"/>
  <c r="H90" i="3" s="1"/>
  <c r="I79" i="9" s="1"/>
  <c r="G5" i="3"/>
  <c r="D5" i="3"/>
  <c r="C5" i="3"/>
  <c r="K29" i="3"/>
  <c r="K92" i="3" s="1"/>
  <c r="L81" i="9" s="1"/>
  <c r="J29" i="3"/>
  <c r="J92" i="3" s="1"/>
  <c r="K81" i="9" s="1"/>
  <c r="I29" i="3"/>
  <c r="I92" i="3" s="1"/>
  <c r="J81" i="9" s="1"/>
  <c r="H29" i="3"/>
  <c r="H92" i="3" s="1"/>
  <c r="I81" i="9" s="1"/>
  <c r="G29" i="3"/>
  <c r="G92" i="3" s="1"/>
  <c r="H81" i="9" s="1"/>
  <c r="F29" i="3"/>
  <c r="F92" i="3" s="1"/>
  <c r="G81" i="9" s="1"/>
  <c r="E29" i="3"/>
  <c r="E92" i="3" s="1"/>
  <c r="F81" i="9" s="1"/>
  <c r="D29" i="3"/>
  <c r="D92" i="3" s="1"/>
  <c r="E81" i="9" s="1"/>
  <c r="C29" i="3"/>
  <c r="C92" i="3" s="1"/>
  <c r="D81" i="9" s="1"/>
  <c r="K59" i="3"/>
  <c r="J59" i="3"/>
  <c r="J44" i="3"/>
  <c r="I59" i="3"/>
  <c r="H59" i="3"/>
  <c r="G59" i="3"/>
  <c r="F59" i="3"/>
  <c r="E59" i="3"/>
  <c r="D59" i="3"/>
  <c r="K44" i="3"/>
  <c r="I44" i="3"/>
  <c r="H44" i="3"/>
  <c r="G44" i="3"/>
  <c r="F44" i="3"/>
  <c r="E44" i="3"/>
  <c r="D44" i="3"/>
  <c r="I43" i="3"/>
  <c r="G43" i="3"/>
  <c r="H87" i="9" s="1"/>
  <c r="D43" i="3"/>
  <c r="C43" i="3"/>
  <c r="J42" i="3"/>
  <c r="H42" i="3"/>
  <c r="H96" i="3" s="1"/>
  <c r="G42" i="3"/>
  <c r="F42" i="3"/>
  <c r="D42" i="3"/>
  <c r="C42" i="3"/>
  <c r="C96" i="3" s="1"/>
  <c r="E70" i="9"/>
  <c r="D70" i="9"/>
  <c r="H70" i="9"/>
  <c r="I70" i="9"/>
  <c r="E58" i="9"/>
  <c r="J68" i="9"/>
  <c r="I68" i="9"/>
  <c r="H68" i="9"/>
  <c r="F68" i="9"/>
  <c r="E68" i="9"/>
  <c r="F67" i="9" l="1"/>
  <c r="R67" i="9" s="1"/>
  <c r="F70" i="9"/>
  <c r="D68" i="9"/>
  <c r="P68" i="9" s="1"/>
  <c r="J67" i="9"/>
  <c r="V67" i="9" s="1"/>
  <c r="J70" i="9"/>
  <c r="H41" i="4"/>
  <c r="E52" i="4"/>
  <c r="F47" i="9" s="1"/>
  <c r="C40" i="4"/>
  <c r="J44" i="4"/>
  <c r="K39" i="9" s="1"/>
  <c r="D40" i="4"/>
  <c r="D39" i="4" s="1"/>
  <c r="E34" i="9" s="1"/>
  <c r="Q57" i="9" s="1"/>
  <c r="Q77" i="9" s="1"/>
  <c r="E97" i="9" s="1"/>
  <c r="Q97" i="9" s="1"/>
  <c r="E8" i="9" s="1"/>
  <c r="D44" i="4"/>
  <c r="E39" i="9" s="1"/>
  <c r="Q62" i="9" s="1"/>
  <c r="I53" i="4"/>
  <c r="J48" i="9" s="1"/>
  <c r="V71" i="9" s="1"/>
  <c r="V91" i="9" s="1"/>
  <c r="J111" i="9" s="1"/>
  <c r="V111" i="9" s="1"/>
  <c r="J19" i="9" s="1"/>
  <c r="H49" i="4"/>
  <c r="I44" i="9" s="1"/>
  <c r="U67" i="9" s="1"/>
  <c r="U87" i="9" s="1"/>
  <c r="I107" i="9" s="1"/>
  <c r="U107" i="9" s="1"/>
  <c r="I23" i="9" s="1"/>
  <c r="D90" i="3"/>
  <c r="D96" i="3"/>
  <c r="D78" i="9"/>
  <c r="E103" i="3"/>
  <c r="F92" i="9" s="1"/>
  <c r="D93" i="3"/>
  <c r="E82" i="9" s="1"/>
  <c r="G103" i="3"/>
  <c r="H92" i="9" s="1"/>
  <c r="K93" i="3"/>
  <c r="L82" i="9" s="1"/>
  <c r="E89" i="3"/>
  <c r="F78" i="9" s="1"/>
  <c r="F89" i="3"/>
  <c r="G78" i="9" s="1"/>
  <c r="I36" i="9"/>
  <c r="U59" i="9" s="1"/>
  <c r="U79" i="9" s="1"/>
  <c r="I99" i="9" s="1"/>
  <c r="U99" i="9" s="1"/>
  <c r="I13" i="9" s="1"/>
  <c r="H42" i="4"/>
  <c r="I37" i="9" s="1"/>
  <c r="H52" i="4"/>
  <c r="I47" i="9" s="1"/>
  <c r="I49" i="9"/>
  <c r="U72" i="9" s="1"/>
  <c r="U92" i="9" s="1"/>
  <c r="I112" i="9" s="1"/>
  <c r="U112" i="9" s="1"/>
  <c r="I28" i="9" s="1"/>
  <c r="H53" i="4"/>
  <c r="I48" i="9" s="1"/>
  <c r="U71" i="9" s="1"/>
  <c r="U91" i="9" s="1"/>
  <c r="I111" i="9" s="1"/>
  <c r="U111" i="9" s="1"/>
  <c r="F44" i="4"/>
  <c r="G39" i="9" s="1"/>
  <c r="S62" i="9" s="1"/>
  <c r="G44" i="4"/>
  <c r="H39" i="9" s="1"/>
  <c r="T62" i="9" s="1"/>
  <c r="H93" i="3"/>
  <c r="I82" i="9" s="1"/>
  <c r="H44" i="4"/>
  <c r="F49" i="9"/>
  <c r="C56" i="4"/>
  <c r="D51" i="9" s="1"/>
  <c r="C44" i="4"/>
  <c r="D39" i="9" s="1"/>
  <c r="P62" i="9" s="1"/>
  <c r="K44" i="4"/>
  <c r="L39" i="9" s="1"/>
  <c r="X62" i="9" s="1"/>
  <c r="E93" i="3"/>
  <c r="F82" i="9" s="1"/>
  <c r="E44" i="4"/>
  <c r="E45" i="4" s="1"/>
  <c r="F40" i="9" s="1"/>
  <c r="R63" i="9" s="1"/>
  <c r="H56" i="4"/>
  <c r="U74" i="9" s="1"/>
  <c r="U94" i="9" s="1"/>
  <c r="I114" i="9" s="1"/>
  <c r="U114" i="9" s="1"/>
  <c r="I16" i="9" s="1"/>
  <c r="I58" i="9"/>
  <c r="H73" i="9"/>
  <c r="T73" i="9" s="1"/>
  <c r="T93" i="9" s="1"/>
  <c r="H113" i="9" s="1"/>
  <c r="T113" i="9" s="1"/>
  <c r="H25" i="9" s="1"/>
  <c r="D73" i="9"/>
  <c r="J36" i="9"/>
  <c r="I42" i="4"/>
  <c r="J37" i="9" s="1"/>
  <c r="V60" i="9" s="1"/>
  <c r="K42" i="9"/>
  <c r="W65" i="9" s="1"/>
  <c r="J46" i="4"/>
  <c r="K41" i="9" s="1"/>
  <c r="W64" i="9" s="1"/>
  <c r="W84" i="9" s="1"/>
  <c r="J48" i="4"/>
  <c r="K43" i="9" s="1"/>
  <c r="W66" i="9" s="1"/>
  <c r="L42" i="9"/>
  <c r="K48" i="4"/>
  <c r="L43" i="9" s="1"/>
  <c r="K46" i="4"/>
  <c r="L41" i="9" s="1"/>
  <c r="H50" i="9"/>
  <c r="G56" i="4"/>
  <c r="T74" i="9" s="1"/>
  <c r="T94" i="9" s="1"/>
  <c r="H114" i="9" s="1"/>
  <c r="T114" i="9" s="1"/>
  <c r="H16" i="9" s="1"/>
  <c r="D48" i="4"/>
  <c r="E43" i="9" s="1"/>
  <c r="Q66" i="9" s="1"/>
  <c r="D46" i="4"/>
  <c r="E41" i="9" s="1"/>
  <c r="Q64" i="9" s="1"/>
  <c r="Q84" i="9" s="1"/>
  <c r="E42" i="9"/>
  <c r="Q65" i="9" s="1"/>
  <c r="H45" i="4"/>
  <c r="I40" i="9" s="1"/>
  <c r="U63" i="9" s="1"/>
  <c r="U83" i="9" s="1"/>
  <c r="I103" i="9" s="1"/>
  <c r="U103" i="9" s="1"/>
  <c r="I21" i="9" s="1"/>
  <c r="I39" i="9"/>
  <c r="U62" i="9" s="1"/>
  <c r="D42" i="9"/>
  <c r="P65" i="9" s="1"/>
  <c r="C46" i="4"/>
  <c r="D41" i="9" s="1"/>
  <c r="P64" i="9" s="1"/>
  <c r="C48" i="4"/>
  <c r="D43" i="9" s="1"/>
  <c r="P66" i="9" s="1"/>
  <c r="E48" i="4"/>
  <c r="F43" i="9" s="1"/>
  <c r="R66" i="9" s="1"/>
  <c r="F42" i="9"/>
  <c r="R65" i="9" s="1"/>
  <c r="E46" i="4"/>
  <c r="F41" i="9" s="1"/>
  <c r="J35" i="9"/>
  <c r="I39" i="4"/>
  <c r="J34" i="9" s="1"/>
  <c r="V57" i="9" s="1"/>
  <c r="V77" i="9" s="1"/>
  <c r="J97" i="9" s="1"/>
  <c r="V97" i="9" s="1"/>
  <c r="J8" i="9" s="1"/>
  <c r="C42" i="4"/>
  <c r="D37" i="9" s="1"/>
  <c r="D36" i="9"/>
  <c r="P59" i="9" s="1"/>
  <c r="G35" i="9"/>
  <c r="F39" i="4"/>
  <c r="G34" i="9" s="1"/>
  <c r="S57" i="9" s="1"/>
  <c r="S77" i="9" s="1"/>
  <c r="G97" i="9" s="1"/>
  <c r="S97" i="9" s="1"/>
  <c r="G8" i="9" s="1"/>
  <c r="F35" i="9"/>
  <c r="E39" i="4"/>
  <c r="F34" i="9" s="1"/>
  <c r="D42" i="4"/>
  <c r="E37" i="9" s="1"/>
  <c r="Q60" i="9" s="1"/>
  <c r="E36" i="9"/>
  <c r="Q59" i="9" s="1"/>
  <c r="G46" i="4"/>
  <c r="H41" i="9" s="1"/>
  <c r="T64" i="9" s="1"/>
  <c r="H42" i="9"/>
  <c r="T65" i="9" s="1"/>
  <c r="G48" i="4"/>
  <c r="H43" i="9" s="1"/>
  <c r="T66" i="9" s="1"/>
  <c r="F45" i="4"/>
  <c r="G40" i="9" s="1"/>
  <c r="S63" i="9" s="1"/>
  <c r="J42" i="9"/>
  <c r="V65" i="9" s="1"/>
  <c r="V85" i="9" s="1"/>
  <c r="I46" i="4"/>
  <c r="J41" i="9" s="1"/>
  <c r="V64" i="9" s="1"/>
  <c r="I48" i="4"/>
  <c r="J43" i="9" s="1"/>
  <c r="V66" i="9" s="1"/>
  <c r="C39" i="4"/>
  <c r="D34" i="9" s="1"/>
  <c r="D35" i="9"/>
  <c r="P58" i="9" s="1"/>
  <c r="H36" i="9"/>
  <c r="T59" i="9" s="1"/>
  <c r="G42" i="4"/>
  <c r="H37" i="9" s="1"/>
  <c r="T60" i="9" s="1"/>
  <c r="H39" i="4"/>
  <c r="I34" i="9" s="1"/>
  <c r="I35" i="9"/>
  <c r="U58" i="9" s="1"/>
  <c r="J39" i="9"/>
  <c r="V62" i="9" s="1"/>
  <c r="I45" i="4"/>
  <c r="J40" i="9" s="1"/>
  <c r="V63" i="9" s="1"/>
  <c r="H46" i="4"/>
  <c r="I41" i="9" s="1"/>
  <c r="I42" i="9"/>
  <c r="U65" i="9" s="1"/>
  <c r="H48" i="4"/>
  <c r="I43" i="9" s="1"/>
  <c r="U66" i="9" s="1"/>
  <c r="X57" i="9"/>
  <c r="X77" i="9" s="1"/>
  <c r="L97" i="9" s="1"/>
  <c r="X97" i="9" s="1"/>
  <c r="L8" i="9" s="1"/>
  <c r="Q71" i="9"/>
  <c r="Q91" i="9" s="1"/>
  <c r="E111" i="9" s="1"/>
  <c r="Q111" i="9" s="1"/>
  <c r="E22" i="9" s="1"/>
  <c r="D92" i="9"/>
  <c r="U73" i="9"/>
  <c r="U93" i="9" s="1"/>
  <c r="I113" i="9" s="1"/>
  <c r="U113" i="9" s="1"/>
  <c r="I25" i="9" s="1"/>
  <c r="G93" i="3"/>
  <c r="H82" i="9" s="1"/>
  <c r="R68" i="9"/>
  <c r="R88" i="9" s="1"/>
  <c r="F108" i="9" s="1"/>
  <c r="R108" i="9" s="1"/>
  <c r="F18" i="9" s="1"/>
  <c r="J58" i="9"/>
  <c r="C90" i="3"/>
  <c r="D79" i="9" s="1"/>
  <c r="J45" i="4"/>
  <c r="K40" i="9" s="1"/>
  <c r="W63" i="9" s="1"/>
  <c r="F46" i="4"/>
  <c r="G41" i="9" s="1"/>
  <c r="D52" i="4"/>
  <c r="E47" i="9" s="1"/>
  <c r="Q70" i="9" s="1"/>
  <c r="Q90" i="9" s="1"/>
  <c r="E110" i="9" s="1"/>
  <c r="Q110" i="9" s="1"/>
  <c r="E27" i="9" s="1"/>
  <c r="P72" i="9"/>
  <c r="T57" i="9"/>
  <c r="R69" i="9"/>
  <c r="R89" i="9" s="1"/>
  <c r="F109" i="9" s="1"/>
  <c r="R109" i="9" s="1"/>
  <c r="F29" i="9" s="1"/>
  <c r="Q67" i="9"/>
  <c r="V69" i="9"/>
  <c r="V89" i="9" s="1"/>
  <c r="J109" i="9" s="1"/>
  <c r="V109" i="9" s="1"/>
  <c r="J29" i="9" s="1"/>
  <c r="E49" i="9"/>
  <c r="Q72" i="9" s="1"/>
  <c r="Q92" i="9" s="1"/>
  <c r="E112" i="9" s="1"/>
  <c r="Q112" i="9" s="1"/>
  <c r="E28" i="9" s="1"/>
  <c r="T68" i="9"/>
  <c r="V72" i="9"/>
  <c r="T69" i="9"/>
  <c r="T89" i="9" s="1"/>
  <c r="H109" i="9" s="1"/>
  <c r="T109" i="9" s="1"/>
  <c r="H29" i="9" s="1"/>
  <c r="X66" i="9"/>
  <c r="X64" i="9"/>
  <c r="W61" i="9"/>
  <c r="W81" i="9" s="1"/>
  <c r="K101" i="9" s="1"/>
  <c r="W101" i="9" s="1"/>
  <c r="U60" i="9"/>
  <c r="E35" i="9"/>
  <c r="Q58" i="9" s="1"/>
  <c r="C52" i="4"/>
  <c r="D47" i="9" s="1"/>
  <c r="P70" i="9" s="1"/>
  <c r="P90" i="9" s="1"/>
  <c r="D110" i="9" s="1"/>
  <c r="P110" i="9" s="1"/>
  <c r="D27" i="9" s="1"/>
  <c r="U68" i="9"/>
  <c r="J87" i="9"/>
  <c r="C53" i="4"/>
  <c r="D48" i="9" s="1"/>
  <c r="P71" i="9" s="1"/>
  <c r="P91" i="9" s="1"/>
  <c r="D111" i="9" s="1"/>
  <c r="P111" i="9" s="1"/>
  <c r="D19" i="9" s="1"/>
  <c r="G52" i="4"/>
  <c r="H47" i="9" s="1"/>
  <c r="T70" i="9" s="1"/>
  <c r="T90" i="9" s="1"/>
  <c r="H110" i="9" s="1"/>
  <c r="T110" i="9" s="1"/>
  <c r="H27" i="9" s="1"/>
  <c r="R57" i="9"/>
  <c r="R77" i="9" s="1"/>
  <c r="F97" i="9" s="1"/>
  <c r="R97" i="9" s="1"/>
  <c r="F8" i="9" s="1"/>
  <c r="V59" i="9"/>
  <c r="U69" i="9"/>
  <c r="U89" i="9" s="1"/>
  <c r="I109" i="9" s="1"/>
  <c r="U109" i="9" s="1"/>
  <c r="I29" i="9" s="1"/>
  <c r="T67" i="9"/>
  <c r="T87" i="9" s="1"/>
  <c r="H107" i="9" s="1"/>
  <c r="T107" i="9" s="1"/>
  <c r="H23" i="9" s="1"/>
  <c r="V61" i="9"/>
  <c r="V81" i="9" s="1"/>
  <c r="J101" i="9" s="1"/>
  <c r="V101" i="9" s="1"/>
  <c r="G42" i="9"/>
  <c r="S65" i="9" s="1"/>
  <c r="H49" i="9"/>
  <c r="T72" i="9" s="1"/>
  <c r="T92" i="9" s="1"/>
  <c r="H112" i="9" s="1"/>
  <c r="T112" i="9" s="1"/>
  <c r="H28" i="9" s="1"/>
  <c r="V68" i="9"/>
  <c r="V88" i="9" s="1"/>
  <c r="J108" i="9" s="1"/>
  <c r="V108" i="9" s="1"/>
  <c r="J18" i="9" s="1"/>
  <c r="P60" i="9"/>
  <c r="U61" i="9"/>
  <c r="U81" i="9" s="1"/>
  <c r="I101" i="9" s="1"/>
  <c r="U101" i="9" s="1"/>
  <c r="F58" i="9"/>
  <c r="G96" i="3"/>
  <c r="G99" i="3" s="1"/>
  <c r="H88" i="9" s="1"/>
  <c r="T71" i="9"/>
  <c r="T91" i="9" s="1"/>
  <c r="H111" i="9" s="1"/>
  <c r="T111" i="9" s="1"/>
  <c r="H22" i="9" s="1"/>
  <c r="J39" i="4"/>
  <c r="K34" i="9" s="1"/>
  <c r="W57" i="9" s="1"/>
  <c r="W77" i="9" s="1"/>
  <c r="K97" i="9" s="1"/>
  <c r="W97" i="9" s="1"/>
  <c r="K8" i="9" s="1"/>
  <c r="I52" i="4"/>
  <c r="J47" i="9" s="1"/>
  <c r="R72" i="9"/>
  <c r="W62" i="9"/>
  <c r="U64" i="9"/>
  <c r="T61" i="9"/>
  <c r="T81" i="9" s="1"/>
  <c r="H101" i="9" s="1"/>
  <c r="T101" i="9" s="1"/>
  <c r="H35" i="9"/>
  <c r="T58" i="9" s="1"/>
  <c r="T78" i="9" s="1"/>
  <c r="H98" i="9" s="1"/>
  <c r="T98" i="9" s="1"/>
  <c r="H14" i="9" s="1"/>
  <c r="U70" i="9"/>
  <c r="U90" i="9" s="1"/>
  <c r="I110" i="9" s="1"/>
  <c r="U110" i="9" s="1"/>
  <c r="I27" i="9" s="1"/>
  <c r="Q73" i="9"/>
  <c r="Q93" i="9" s="1"/>
  <c r="E113" i="9" s="1"/>
  <c r="Q113" i="9" s="1"/>
  <c r="E25" i="9" s="1"/>
  <c r="R60" i="9"/>
  <c r="F36" i="9"/>
  <c r="R59" i="9" s="1"/>
  <c r="P61" i="9"/>
  <c r="P81" i="9" s="1"/>
  <c r="D101" i="9" s="1"/>
  <c r="P101" i="9" s="1"/>
  <c r="I103" i="3"/>
  <c r="J92" i="9" s="1"/>
  <c r="D56" i="4"/>
  <c r="E51" i="9" s="1"/>
  <c r="Q74" i="9" s="1"/>
  <c r="Q94" i="9" s="1"/>
  <c r="E114" i="9" s="1"/>
  <c r="Q114" i="9" s="1"/>
  <c r="E16" i="9" s="1"/>
  <c r="R71" i="9"/>
  <c r="R91" i="9" s="1"/>
  <c r="F111" i="9" s="1"/>
  <c r="R111" i="9" s="1"/>
  <c r="F19" i="9" s="1"/>
  <c r="S61" i="9"/>
  <c r="S81" i="9" s="1"/>
  <c r="G101" i="9" s="1"/>
  <c r="S101" i="9" s="1"/>
  <c r="P74" i="9"/>
  <c r="P94" i="9" s="1"/>
  <c r="D114" i="9" s="1"/>
  <c r="P114" i="9" s="1"/>
  <c r="D16" i="9" s="1"/>
  <c r="S66" i="9"/>
  <c r="S64" i="9"/>
  <c r="R61" i="9"/>
  <c r="R81" i="9" s="1"/>
  <c r="F101" i="9" s="1"/>
  <c r="R101" i="9" s="1"/>
  <c r="X65" i="9"/>
  <c r="P73" i="9"/>
  <c r="P93" i="9" s="1"/>
  <c r="D113" i="9" s="1"/>
  <c r="P113" i="9" s="1"/>
  <c r="D25" i="9" s="1"/>
  <c r="Q68" i="9"/>
  <c r="D89" i="3"/>
  <c r="E78" i="9" s="1"/>
  <c r="F87" i="9"/>
  <c r="U57" i="9"/>
  <c r="U77" i="9" s="1"/>
  <c r="I97" i="9" s="1"/>
  <c r="U97" i="9" s="1"/>
  <c r="I8" i="9" s="1"/>
  <c r="Q69" i="9"/>
  <c r="Q89" i="9" s="1"/>
  <c r="E109" i="9" s="1"/>
  <c r="Q109" i="9" s="1"/>
  <c r="E29" i="9" s="1"/>
  <c r="P67" i="9"/>
  <c r="R64" i="9"/>
  <c r="R84" i="9" s="1"/>
  <c r="Q61" i="9"/>
  <c r="Q81" i="9" s="1"/>
  <c r="E101" i="9" s="1"/>
  <c r="Q101" i="9" s="1"/>
  <c r="K58" i="9"/>
  <c r="W58" i="9" s="1"/>
  <c r="W78" i="9" s="1"/>
  <c r="K98" i="9" s="1"/>
  <c r="W98" i="9" s="1"/>
  <c r="K14" i="9" s="1"/>
  <c r="G58" i="9"/>
  <c r="S58" i="9" s="1"/>
  <c r="S78" i="9" s="1"/>
  <c r="G98" i="9" s="1"/>
  <c r="S98" i="9" s="1"/>
  <c r="G14" i="9" s="1"/>
  <c r="L61" i="9"/>
  <c r="X61" i="9" s="1"/>
  <c r="X81" i="9" s="1"/>
  <c r="L101" i="9" s="1"/>
  <c r="X101" i="9" s="1"/>
  <c r="P89" i="9"/>
  <c r="D109" i="9" s="1"/>
  <c r="P109" i="9" s="1"/>
  <c r="D29" i="9" s="1"/>
  <c r="I93" i="3"/>
  <c r="J82" i="9" s="1"/>
  <c r="J93" i="3"/>
  <c r="K82" i="9" s="1"/>
  <c r="E96" i="3"/>
  <c r="E97" i="3" s="1"/>
  <c r="F86" i="9" s="1"/>
  <c r="K89" i="3"/>
  <c r="L78" i="9" s="1"/>
  <c r="C93" i="3"/>
  <c r="C94" i="3" s="1"/>
  <c r="D83" i="9" s="1"/>
  <c r="E90" i="3"/>
  <c r="F79" i="9" s="1"/>
  <c r="F93" i="3"/>
  <c r="G82" i="9" s="1"/>
  <c r="E87" i="9"/>
  <c r="Q87" i="9" s="1"/>
  <c r="E107" i="9" s="1"/>
  <c r="Q107" i="9" s="1"/>
  <c r="E23" i="9" s="1"/>
  <c r="I96" i="3"/>
  <c r="J85" i="9" s="1"/>
  <c r="E95" i="3"/>
  <c r="F84" i="9" s="1"/>
  <c r="H99" i="3"/>
  <c r="I88" i="9" s="1"/>
  <c r="H95" i="3"/>
  <c r="I84" i="9" s="1"/>
  <c r="H91" i="3"/>
  <c r="I80" i="9" s="1"/>
  <c r="H89" i="3"/>
  <c r="I78" i="9" s="1"/>
  <c r="F96" i="3"/>
  <c r="G85" i="9" s="1"/>
  <c r="J96" i="3"/>
  <c r="K85" i="9" s="1"/>
  <c r="G90" i="3"/>
  <c r="H79" i="9" s="1"/>
  <c r="I89" i="3"/>
  <c r="J78" i="9" s="1"/>
  <c r="I90" i="3"/>
  <c r="J79" i="9" s="1"/>
  <c r="K96" i="3"/>
  <c r="K97" i="3" s="1"/>
  <c r="C97" i="3"/>
  <c r="D86" i="9" s="1"/>
  <c r="C95" i="3"/>
  <c r="D84" i="9" s="1"/>
  <c r="D88" i="9"/>
  <c r="D85" i="9"/>
  <c r="J95" i="3"/>
  <c r="K84" i="9" s="1"/>
  <c r="E79" i="9"/>
  <c r="D91" i="3"/>
  <c r="E80" i="9" s="1"/>
  <c r="E85" i="9"/>
  <c r="D97" i="3"/>
  <c r="E86" i="9" s="1"/>
  <c r="D99" i="3"/>
  <c r="E88" i="9" s="1"/>
  <c r="D95" i="3"/>
  <c r="E84" i="9" s="1"/>
  <c r="K95" i="3"/>
  <c r="C91" i="3"/>
  <c r="D80" i="9" s="1"/>
  <c r="T77" i="9"/>
  <c r="H97" i="9" s="1"/>
  <c r="T97" i="9" s="1"/>
  <c r="H8" i="9" s="1"/>
  <c r="H97" i="3"/>
  <c r="I86" i="9" s="1"/>
  <c r="I85" i="9"/>
  <c r="R92" i="9"/>
  <c r="F112" i="9" s="1"/>
  <c r="R112" i="9" s="1"/>
  <c r="F28" i="9" s="1"/>
  <c r="F94" i="3"/>
  <c r="G83" i="9" s="1"/>
  <c r="E94" i="3"/>
  <c r="F83" i="9" s="1"/>
  <c r="G45" i="4"/>
  <c r="H40" i="9" s="1"/>
  <c r="T63" i="9" s="1"/>
  <c r="L84" i="9" l="1"/>
  <c r="L95" i="3"/>
  <c r="M84" i="9" s="1"/>
  <c r="Y84" i="9" s="1"/>
  <c r="M104" i="9" s="1"/>
  <c r="Y104" i="9" s="1"/>
  <c r="M7" i="9" s="1"/>
  <c r="L86" i="9"/>
  <c r="L97" i="3"/>
  <c r="M86" i="9" s="1"/>
  <c r="Y86" i="9" s="1"/>
  <c r="M106" i="9" s="1"/>
  <c r="Y106" i="9" s="1"/>
  <c r="M24" i="9" s="1"/>
  <c r="Q85" i="9"/>
  <c r="R86" i="9"/>
  <c r="Q86" i="9"/>
  <c r="W85" i="9"/>
  <c r="K105" i="9" s="1"/>
  <c r="W105" i="9" s="1"/>
  <c r="K20" i="9" s="1"/>
  <c r="S82" i="9"/>
  <c r="G102" i="9" s="1"/>
  <c r="S102" i="9" s="1"/>
  <c r="G26" i="9" s="1"/>
  <c r="U84" i="9"/>
  <c r="P86" i="9"/>
  <c r="D106" i="9" s="1"/>
  <c r="P106" i="9" s="1"/>
  <c r="U86" i="9"/>
  <c r="I106" i="9" s="1"/>
  <c r="U106" i="9" s="1"/>
  <c r="I17" i="9" s="1"/>
  <c r="P84" i="9"/>
  <c r="D104" i="9" s="1"/>
  <c r="P104" i="9" s="1"/>
  <c r="D7" i="9" s="1"/>
  <c r="U85" i="9"/>
  <c r="P85" i="9"/>
  <c r="X84" i="9"/>
  <c r="L104" i="9" s="1"/>
  <c r="X104" i="9" s="1"/>
  <c r="L7" i="9" s="1"/>
  <c r="S85" i="9"/>
  <c r="X86" i="9"/>
  <c r="L106" i="9" s="1"/>
  <c r="X106" i="9" s="1"/>
  <c r="L24" i="9" s="1"/>
  <c r="P57" i="9"/>
  <c r="P77" i="9" s="1"/>
  <c r="D97" i="9" s="1"/>
  <c r="P97" i="9" s="1"/>
  <c r="D8" i="9" s="1"/>
  <c r="P78" i="9"/>
  <c r="D98" i="9" s="1"/>
  <c r="P98" i="9" s="1"/>
  <c r="D14" i="9" s="1"/>
  <c r="V70" i="9"/>
  <c r="V90" i="9" s="1"/>
  <c r="J110" i="9" s="1"/>
  <c r="V110" i="9" s="1"/>
  <c r="J27" i="9" s="1"/>
  <c r="R70" i="9"/>
  <c r="R90" i="9" s="1"/>
  <c r="F110" i="9" s="1"/>
  <c r="R110" i="9" s="1"/>
  <c r="F27" i="9" s="1"/>
  <c r="T79" i="9"/>
  <c r="H99" i="9" s="1"/>
  <c r="T99" i="9" s="1"/>
  <c r="H13" i="9" s="1"/>
  <c r="R58" i="9"/>
  <c r="R78" i="9" s="1"/>
  <c r="F98" i="9" s="1"/>
  <c r="R98" i="9" s="1"/>
  <c r="F14" i="9" s="1"/>
  <c r="X82" i="9"/>
  <c r="L102" i="9" s="1"/>
  <c r="X102" i="9" s="1"/>
  <c r="L26" i="9" s="1"/>
  <c r="P79" i="9"/>
  <c r="D99" i="9" s="1"/>
  <c r="P99" i="9" s="1"/>
  <c r="D13" i="9" s="1"/>
  <c r="S83" i="9"/>
  <c r="G103" i="9" s="1"/>
  <c r="S103" i="9" s="1"/>
  <c r="G21" i="9" s="1"/>
  <c r="V58" i="9"/>
  <c r="V78" i="9" s="1"/>
  <c r="J98" i="9" s="1"/>
  <c r="V98" i="9" s="1"/>
  <c r="J14" i="9" s="1"/>
  <c r="Q79" i="9"/>
  <c r="E99" i="9" s="1"/>
  <c r="Q99" i="9" s="1"/>
  <c r="E13" i="9" s="1"/>
  <c r="P88" i="9"/>
  <c r="D108" i="9" s="1"/>
  <c r="P108" i="9" s="1"/>
  <c r="D18" i="9" s="1"/>
  <c r="V87" i="9"/>
  <c r="J107" i="9" s="1"/>
  <c r="V107" i="9" s="1"/>
  <c r="J23" i="9" s="1"/>
  <c r="F106" i="9"/>
  <c r="R106" i="9" s="1"/>
  <c r="F17" i="9" s="1"/>
  <c r="I22" i="9"/>
  <c r="I19" i="9"/>
  <c r="U88" i="9"/>
  <c r="I108" i="9" s="1"/>
  <c r="U108" i="9" s="1"/>
  <c r="I18" i="9" s="1"/>
  <c r="Q82" i="9"/>
  <c r="E102" i="9" s="1"/>
  <c r="Q102" i="9" s="1"/>
  <c r="E26" i="9" s="1"/>
  <c r="K45" i="4"/>
  <c r="L40" i="9" s="1"/>
  <c r="X63" i="9" s="1"/>
  <c r="X83" i="9" s="1"/>
  <c r="L103" i="9" s="1"/>
  <c r="X103" i="9" s="1"/>
  <c r="L21" i="9" s="1"/>
  <c r="T82" i="9"/>
  <c r="H102" i="9" s="1"/>
  <c r="T102" i="9" s="1"/>
  <c r="H26" i="9" s="1"/>
  <c r="F39" i="9"/>
  <c r="R62" i="9" s="1"/>
  <c r="R82" i="9" s="1"/>
  <c r="F102" i="9" s="1"/>
  <c r="R102" i="9" s="1"/>
  <c r="F26" i="9" s="1"/>
  <c r="C45" i="4"/>
  <c r="D40" i="9" s="1"/>
  <c r="P63" i="9" s="1"/>
  <c r="P83" i="9" s="1"/>
  <c r="D103" i="9" s="1"/>
  <c r="P103" i="9" s="1"/>
  <c r="D21" i="9" s="1"/>
  <c r="D45" i="4"/>
  <c r="E40" i="9" s="1"/>
  <c r="Q63" i="9" s="1"/>
  <c r="Q83" i="9" s="1"/>
  <c r="E103" i="9" s="1"/>
  <c r="Q103" i="9" s="1"/>
  <c r="E21" i="9" s="1"/>
  <c r="K104" i="9"/>
  <c r="W104" i="9" s="1"/>
  <c r="K7" i="9" s="1"/>
  <c r="F85" i="9"/>
  <c r="R85" i="9" s="1"/>
  <c r="F105" i="9" s="1"/>
  <c r="R105" i="9" s="1"/>
  <c r="F20" i="9" s="1"/>
  <c r="D82" i="9"/>
  <c r="P82" i="9" s="1"/>
  <c r="D102" i="9" s="1"/>
  <c r="P102" i="9" s="1"/>
  <c r="D26" i="9" s="1"/>
  <c r="G94" i="3"/>
  <c r="H83" i="9" s="1"/>
  <c r="T83" i="9" s="1"/>
  <c r="H103" i="9" s="1"/>
  <c r="T103" i="9" s="1"/>
  <c r="H21" i="9" s="1"/>
  <c r="G95" i="3"/>
  <c r="H84" i="9" s="1"/>
  <c r="Q78" i="9"/>
  <c r="E98" i="9" s="1"/>
  <c r="Q98" i="9" s="1"/>
  <c r="E14" i="9" s="1"/>
  <c r="J97" i="3"/>
  <c r="K86" i="9" s="1"/>
  <c r="W86" i="9" s="1"/>
  <c r="T88" i="9"/>
  <c r="H108" i="9" s="1"/>
  <c r="T108" i="9" s="1"/>
  <c r="H18" i="9" s="1"/>
  <c r="V79" i="9"/>
  <c r="J99" i="9" s="1"/>
  <c r="V99" i="9" s="1"/>
  <c r="J13" i="9" s="1"/>
  <c r="I105" i="9"/>
  <c r="U105" i="9" s="1"/>
  <c r="I20" i="9" s="1"/>
  <c r="V92" i="9"/>
  <c r="J112" i="9" s="1"/>
  <c r="V112" i="9" s="1"/>
  <c r="J28" i="9" s="1"/>
  <c r="Q80" i="9"/>
  <c r="E100" i="9" s="1"/>
  <c r="Q100" i="9" s="1"/>
  <c r="E10" i="9" s="1"/>
  <c r="I91" i="3"/>
  <c r="J80" i="9" s="1"/>
  <c r="V80" i="9" s="1"/>
  <c r="J100" i="9" s="1"/>
  <c r="V100" i="9" s="1"/>
  <c r="J11" i="9" s="1"/>
  <c r="G91" i="3"/>
  <c r="H80" i="9" s="1"/>
  <c r="T80" i="9" s="1"/>
  <c r="H100" i="9" s="1"/>
  <c r="T100" i="9" s="1"/>
  <c r="H10" i="9" s="1"/>
  <c r="I97" i="3"/>
  <c r="J86" i="9" s="1"/>
  <c r="R79" i="9"/>
  <c r="F99" i="9" s="1"/>
  <c r="R99" i="9" s="1"/>
  <c r="F13" i="9" s="1"/>
  <c r="G105" i="9"/>
  <c r="S105" i="9" s="1"/>
  <c r="G20" i="9" s="1"/>
  <c r="F104" i="9"/>
  <c r="R104" i="9" s="1"/>
  <c r="F7" i="9" s="1"/>
  <c r="I95" i="3"/>
  <c r="J84" i="9" s="1"/>
  <c r="J94" i="3"/>
  <c r="K83" i="9" s="1"/>
  <c r="W83" i="9" s="1"/>
  <c r="K103" i="9" s="1"/>
  <c r="W103" i="9" s="1"/>
  <c r="K21" i="9" s="1"/>
  <c r="U82" i="9"/>
  <c r="I102" i="9" s="1"/>
  <c r="U102" i="9" s="1"/>
  <c r="I26" i="9" s="1"/>
  <c r="U78" i="9"/>
  <c r="I98" i="9" s="1"/>
  <c r="U98" i="9" s="1"/>
  <c r="I14" i="9" s="1"/>
  <c r="R87" i="9"/>
  <c r="F107" i="9" s="1"/>
  <c r="R107" i="9" s="1"/>
  <c r="F23" i="9" s="1"/>
  <c r="P92" i="9"/>
  <c r="D112" i="9" s="1"/>
  <c r="P112" i="9" s="1"/>
  <c r="D28" i="9" s="1"/>
  <c r="E105" i="9"/>
  <c r="Q105" i="9" s="1"/>
  <c r="E20" i="9" s="1"/>
  <c r="W82" i="9"/>
  <c r="K102" i="9" s="1"/>
  <c r="W102" i="9" s="1"/>
  <c r="K26" i="9" s="1"/>
  <c r="F22" i="9"/>
  <c r="J105" i="9"/>
  <c r="V105" i="9" s="1"/>
  <c r="J20" i="9" s="1"/>
  <c r="H19" i="9"/>
  <c r="I104" i="9"/>
  <c r="U104" i="9" s="1"/>
  <c r="I7" i="9" s="1"/>
  <c r="Q88" i="9"/>
  <c r="E108" i="9" s="1"/>
  <c r="Q108" i="9" s="1"/>
  <c r="E18" i="9" s="1"/>
  <c r="E106" i="9"/>
  <c r="Q106" i="9" s="1"/>
  <c r="E17" i="9" s="1"/>
  <c r="R83" i="9"/>
  <c r="F103" i="9" s="1"/>
  <c r="R103" i="9" s="1"/>
  <c r="F21" i="9" s="1"/>
  <c r="U80" i="9"/>
  <c r="I100" i="9" s="1"/>
  <c r="U100" i="9" s="1"/>
  <c r="V82" i="9"/>
  <c r="J102" i="9" s="1"/>
  <c r="V102" i="9" s="1"/>
  <c r="J26" i="9" s="1"/>
  <c r="I94" i="3"/>
  <c r="J83" i="9" s="1"/>
  <c r="V83" i="9" s="1"/>
  <c r="J103" i="9" s="1"/>
  <c r="V103" i="9" s="1"/>
  <c r="J21" i="9" s="1"/>
  <c r="D105" i="9"/>
  <c r="P105" i="9" s="1"/>
  <c r="D20" i="9" s="1"/>
  <c r="E104" i="9"/>
  <c r="Q104" i="9" s="1"/>
  <c r="E7" i="9" s="1"/>
  <c r="G97" i="3"/>
  <c r="H86" i="9" s="1"/>
  <c r="L58" i="9"/>
  <c r="X58" i="9" s="1"/>
  <c r="X78" i="9" s="1"/>
  <c r="L98" i="9" s="1"/>
  <c r="X98" i="9" s="1"/>
  <c r="L14" i="9" s="1"/>
  <c r="H85" i="9"/>
  <c r="T85" i="9" s="1"/>
  <c r="H30" i="9"/>
  <c r="P80" i="9"/>
  <c r="D100" i="9" s="1"/>
  <c r="P100" i="9" s="1"/>
  <c r="D11" i="9" s="1"/>
  <c r="E30" i="9"/>
  <c r="J22" i="9"/>
  <c r="D30" i="9"/>
  <c r="E19" i="9"/>
  <c r="L85" i="9"/>
  <c r="X85" i="9" s="1"/>
  <c r="E91" i="3"/>
  <c r="F80" i="9" s="1"/>
  <c r="R80" i="9" s="1"/>
  <c r="F100" i="9" s="1"/>
  <c r="R100" i="9" s="1"/>
  <c r="F10" i="9" s="1"/>
  <c r="F97" i="3"/>
  <c r="G86" i="9" s="1"/>
  <c r="F95" i="3"/>
  <c r="G84" i="9" s="1"/>
  <c r="S84" i="9" s="1"/>
  <c r="I30" i="9"/>
  <c r="D22" i="9"/>
  <c r="D17" i="9" l="1"/>
  <c r="D24" i="9"/>
  <c r="K22" i="9"/>
  <c r="K27" i="9"/>
  <c r="K30" i="9"/>
  <c r="K19" i="9"/>
  <c r="F30" i="9"/>
  <c r="G19" i="9"/>
  <c r="G22" i="9"/>
  <c r="G27" i="9"/>
  <c r="G30" i="9"/>
  <c r="H106" i="9"/>
  <c r="T106" i="9" s="1"/>
  <c r="H24" i="9" s="1"/>
  <c r="G104" i="9"/>
  <c r="S104" i="9" s="1"/>
  <c r="G7" i="9" s="1"/>
  <c r="T84" i="9"/>
  <c r="H104" i="9" s="1"/>
  <c r="T104" i="9" s="1"/>
  <c r="H7" i="9" s="1"/>
  <c r="T86" i="9"/>
  <c r="L105" i="9"/>
  <c r="X105" i="9" s="1"/>
  <c r="L20" i="9" s="1"/>
  <c r="H105" i="9"/>
  <c r="T105" i="9" s="1"/>
  <c r="H20" i="9" s="1"/>
  <c r="G106" i="9"/>
  <c r="S106" i="9" s="1"/>
  <c r="G17" i="9" s="1"/>
  <c r="V84" i="9"/>
  <c r="J104" i="9" s="1"/>
  <c r="V104" i="9" s="1"/>
  <c r="J7" i="9" s="1"/>
  <c r="J30" i="9"/>
  <c r="K106" i="9"/>
  <c r="W106" i="9" s="1"/>
  <c r="K24" i="9" s="1"/>
  <c r="V86" i="9"/>
  <c r="J106" i="9" s="1"/>
  <c r="V106" i="9" s="1"/>
  <c r="J17" i="9" s="1"/>
  <c r="S86" i="9"/>
  <c r="F24" i="9"/>
  <c r="E12" i="9"/>
  <c r="E11" i="9"/>
  <c r="J12" i="9"/>
  <c r="J10" i="9"/>
  <c r="H12" i="9"/>
  <c r="H11" i="9"/>
  <c r="I24" i="9"/>
  <c r="E24" i="9"/>
  <c r="I11" i="9"/>
  <c r="I12" i="9"/>
  <c r="I10" i="9"/>
  <c r="D12" i="9"/>
  <c r="K17" i="9"/>
  <c r="D10" i="9"/>
  <c r="L17" i="9"/>
  <c r="F11" i="9"/>
  <c r="F12" i="9"/>
  <c r="D87" i="9"/>
  <c r="P87" i="9" s="1"/>
  <c r="D107" i="9" s="1"/>
  <c r="P107" i="9" s="1"/>
  <c r="D23" i="9" s="1"/>
  <c r="H17" i="9" l="1"/>
  <c r="J24" i="9"/>
  <c r="G24" i="9"/>
</calcChain>
</file>

<file path=xl/sharedStrings.xml><?xml version="1.0" encoding="utf-8"?>
<sst xmlns="http://schemas.openxmlformats.org/spreadsheetml/2006/main" count="1310" uniqueCount="310">
  <si>
    <t>11-20cm</t>
  </si>
  <si>
    <t>21-30cm</t>
  </si>
  <si>
    <t>31-40cm</t>
  </si>
  <si>
    <t>41-50cm</t>
  </si>
  <si>
    <t>51-60cm</t>
  </si>
  <si>
    <t>Morgan &amp; Kench 2016</t>
  </si>
  <si>
    <t>Yarlett et al. 2017</t>
  </si>
  <si>
    <t>Chlorurus sordidus</t>
  </si>
  <si>
    <t>Chlorurus strongylocephalus</t>
  </si>
  <si>
    <t>excavating parrotfish</t>
  </si>
  <si>
    <t>15-24cm</t>
  </si>
  <si>
    <t>25-34cm</t>
  </si>
  <si>
    <t>35-44cm</t>
  </si>
  <si>
    <t>Initial Phase</t>
  </si>
  <si>
    <t>Terminal Phase</t>
  </si>
  <si>
    <t>&gt;45cm</t>
  </si>
  <si>
    <t>16-30cm</t>
  </si>
  <si>
    <t>&lt;15cm</t>
  </si>
  <si>
    <t>31-45cm</t>
  </si>
  <si>
    <t>&gt;46cm</t>
  </si>
  <si>
    <t>Scarus rubroviolaceus</t>
  </si>
  <si>
    <t>45-54cm</t>
  </si>
  <si>
    <t>Ong &amp; Holland 2010</t>
  </si>
  <si>
    <t>Bellwood 1995</t>
  </si>
  <si>
    <t>Lokrantz et al. 2008</t>
  </si>
  <si>
    <t>Scarus niger</t>
  </si>
  <si>
    <t>15-20cm</t>
  </si>
  <si>
    <t>Study</t>
  </si>
  <si>
    <t>Bellwood &amp; Choat 1990</t>
  </si>
  <si>
    <t>Cetoscarus bicolor</t>
  </si>
  <si>
    <t>Scarus frenatus</t>
  </si>
  <si>
    <t>Scarus psittacus</t>
  </si>
  <si>
    <t>Scarus ghobban</t>
  </si>
  <si>
    <t>Scarus globiceps</t>
  </si>
  <si>
    <t>Maldives</t>
  </si>
  <si>
    <t>Hawaii</t>
  </si>
  <si>
    <t>Tanzania</t>
  </si>
  <si>
    <t>Chagos</t>
  </si>
  <si>
    <t>Great Barrier Reef</t>
  </si>
  <si>
    <t>Jenuchowski-Hartley - unpublished data 2014</t>
  </si>
  <si>
    <t>Seychelles &amp; Mozambique</t>
  </si>
  <si>
    <t>Scrapers</t>
  </si>
  <si>
    <t>average Indo-Pacific</t>
  </si>
  <si>
    <t>ReefBudget size class</t>
  </si>
  <si>
    <t>Afeworki et al. 2011</t>
  </si>
  <si>
    <t>Red Sea</t>
  </si>
  <si>
    <t>Scarus ferrugineus</t>
  </si>
  <si>
    <t>Afeworki et al. 2013</t>
  </si>
  <si>
    <t>Chlorurus bleekeri</t>
  </si>
  <si>
    <t>Chlorurus gibbus</t>
  </si>
  <si>
    <t>Alwany et al. 2009</t>
  </si>
  <si>
    <t>Chlorurus perspicillatus</t>
  </si>
  <si>
    <t>Scraus rubroviolaceus</t>
  </si>
  <si>
    <t>Excavators</t>
  </si>
  <si>
    <t>Chlorurus strongylocephalus/microrhinos/gibbus</t>
  </si>
  <si>
    <t>20cm</t>
  </si>
  <si>
    <t>25cm</t>
  </si>
  <si>
    <t>35cm</t>
  </si>
  <si>
    <t>25-30cm</t>
  </si>
  <si>
    <t>46-60cm</t>
  </si>
  <si>
    <t>Life phase</t>
  </si>
  <si>
    <t>45-55cm</t>
  </si>
  <si>
    <t>50cm</t>
  </si>
  <si>
    <t>55-60cm</t>
  </si>
  <si>
    <r>
      <t xml:space="preserve">Chlorurus microrhinos </t>
    </r>
    <r>
      <rPr>
        <sz val="11"/>
        <color theme="1"/>
        <rFont val="Calibri"/>
        <family val="2"/>
        <scheme val="minor"/>
      </rPr>
      <t xml:space="preserve">(as </t>
    </r>
    <r>
      <rPr>
        <i/>
        <sz val="11"/>
        <color theme="1"/>
        <rFont val="Calibri"/>
        <family val="2"/>
        <scheme val="minor"/>
      </rPr>
      <t>gibbus</t>
    </r>
    <r>
      <rPr>
        <sz val="11"/>
        <color theme="1"/>
        <rFont val="Calibri"/>
        <family val="2"/>
        <scheme val="minor"/>
      </rPr>
      <t>)</t>
    </r>
  </si>
  <si>
    <r>
      <t>Cetoscarus ocellatus</t>
    </r>
    <r>
      <rPr>
        <sz val="11"/>
        <color theme="1"/>
        <rFont val="Calibri"/>
        <family val="2"/>
        <scheme val="minor"/>
      </rPr>
      <t xml:space="preserve"> (as </t>
    </r>
    <r>
      <rPr>
        <i/>
        <sz val="11"/>
        <color theme="1"/>
        <rFont val="Calibri"/>
        <family val="2"/>
        <scheme val="minor"/>
      </rPr>
      <t>bicolor</t>
    </r>
    <r>
      <rPr>
        <sz val="11"/>
        <color theme="1"/>
        <rFont val="Calibri"/>
        <family val="2"/>
        <scheme val="minor"/>
      </rPr>
      <t>)</t>
    </r>
  </si>
  <si>
    <t>Cetoscarus bicolor/ocellatus</t>
  </si>
  <si>
    <t>calculated from daily feeding rates and minutes per day feeding</t>
  </si>
  <si>
    <t>calculated from quadratic function y=-0.0488*FL^2+1.52*FL+20.58</t>
  </si>
  <si>
    <t>study size class</t>
  </si>
  <si>
    <t>mean value as no  correlation between feeding rate and body size was found</t>
  </si>
  <si>
    <t>calculated from daily feeding rates and 10 h of feeding</t>
  </si>
  <si>
    <t>Chlorurus atrilunula</t>
  </si>
  <si>
    <t>Scarus chameleon</t>
  </si>
  <si>
    <t>Scarus flavipectoralis</t>
  </si>
  <si>
    <t>Scarus oviceps</t>
  </si>
  <si>
    <t>Scarus rivulatus</t>
  </si>
  <si>
    <t>Scarus schlegeli</t>
  </si>
  <si>
    <t>Scarus spinus</t>
  </si>
  <si>
    <t>Occasional excavators</t>
  </si>
  <si>
    <t>Notes:</t>
  </si>
  <si>
    <t>15cm</t>
  </si>
  <si>
    <t>46-54cm</t>
  </si>
  <si>
    <t>paper gives size range for morphological analysis. As we assume that these collected specimen are the most common sizes in the studied reefs, we adoped the given bite rates to those size classes which fall into the mentioned the size range.</t>
  </si>
  <si>
    <t>no sizes or range stated</t>
  </si>
  <si>
    <t>values or line of best fit from correlation analysis is not reported in the publication</t>
  </si>
  <si>
    <r>
      <t>Chlorurus spilurus</t>
    </r>
    <r>
      <rPr>
        <sz val="11"/>
        <color theme="1"/>
        <rFont val="Calibri"/>
        <family val="2"/>
        <scheme val="minor"/>
      </rPr>
      <t xml:space="preserve"> (as</t>
    </r>
    <r>
      <rPr>
        <i/>
        <sz val="11"/>
        <color theme="1"/>
        <rFont val="Calibri"/>
        <family val="2"/>
        <scheme val="minor"/>
      </rPr>
      <t xml:space="preserve"> sordidus</t>
    </r>
    <r>
      <rPr>
        <sz val="11"/>
        <color theme="1"/>
        <rFont val="Calibri"/>
        <family val="2"/>
        <scheme val="minor"/>
      </rPr>
      <t>)</t>
    </r>
  </si>
  <si>
    <r>
      <t xml:space="preserve">Chlorurus </t>
    </r>
    <r>
      <rPr>
        <i/>
        <u/>
        <sz val="11"/>
        <color theme="1"/>
        <rFont val="Calibri"/>
        <family val="2"/>
        <scheme val="minor"/>
      </rPr>
      <t>strongylocephalus/microrhinos/gibbus</t>
    </r>
  </si>
  <si>
    <r>
      <t xml:space="preserve">Cetoscarus </t>
    </r>
    <r>
      <rPr>
        <i/>
        <u/>
        <sz val="11"/>
        <color theme="1"/>
        <rFont val="Calibri"/>
        <family val="2"/>
        <scheme val="minor"/>
      </rPr>
      <t>bicolor/ocellatus</t>
    </r>
  </si>
  <si>
    <r>
      <t xml:space="preserve">Scarus </t>
    </r>
    <r>
      <rPr>
        <i/>
        <u/>
        <sz val="11"/>
        <color theme="1"/>
        <rFont val="Calibri"/>
        <family val="2"/>
        <scheme val="minor"/>
      </rPr>
      <t>ferrugineus</t>
    </r>
    <r>
      <rPr>
        <i/>
        <sz val="11"/>
        <color theme="1"/>
        <rFont val="Calibri"/>
        <family val="2"/>
        <scheme val="minor"/>
      </rPr>
      <t>/persicus</t>
    </r>
  </si>
  <si>
    <r>
      <t xml:space="preserve"> Bite rate (bites min</t>
    </r>
    <r>
      <rPr>
        <b/>
        <vertAlign val="superscript"/>
        <sz val="12"/>
        <color theme="1"/>
        <rFont val="Calibri"/>
        <family val="2"/>
        <scheme val="minor"/>
      </rPr>
      <t>-1</t>
    </r>
    <r>
      <rPr>
        <b/>
        <sz val="12"/>
        <color theme="1"/>
        <rFont val="Calibri"/>
        <family val="2"/>
        <scheme val="minor"/>
      </rPr>
      <t>)</t>
    </r>
  </si>
  <si>
    <r>
      <t>Scar volume (cm</t>
    </r>
    <r>
      <rPr>
        <b/>
        <vertAlign val="superscript"/>
        <sz val="12"/>
        <color theme="1"/>
        <rFont val="Calibri"/>
        <family val="2"/>
        <scheme val="minor"/>
      </rPr>
      <t>3</t>
    </r>
    <r>
      <rPr>
        <b/>
        <sz val="12"/>
        <color theme="1"/>
        <rFont val="Calibri"/>
        <family val="2"/>
        <scheme val="minor"/>
      </rPr>
      <t>)</t>
    </r>
  </si>
  <si>
    <t>Region/species</t>
  </si>
  <si>
    <t>References:</t>
  </si>
  <si>
    <t>groups based on sister species or clades in Choat et al. 2012 and Bonaldo et al. 2014</t>
  </si>
  <si>
    <t>Standard length stated in the text: 41.5cm</t>
  </si>
  <si>
    <t>Standard length stated in the text: 12.6-22.5 cm</t>
  </si>
  <si>
    <t>No sizes or ranges given. Volumes are likely overestimations for small fish, which is why only larger size classes/mentioned standard lengths are filled.</t>
  </si>
  <si>
    <t>45cm</t>
  </si>
  <si>
    <t>55cm</t>
  </si>
  <si>
    <t>y=3E-07x^3.215, R2=0.9856</t>
  </si>
  <si>
    <t>y=3E-06x^2.6228, R2=0.985</t>
  </si>
  <si>
    <t>y=6E-05e^0.0553x, R2=0.9883</t>
  </si>
  <si>
    <t>y=3E-06x^1.3379, R2=0.9633</t>
  </si>
  <si>
    <t>y=2E-05e^0.084x, R2=0.9348</t>
  </si>
  <si>
    <r>
      <t xml:space="preserve">Volumes were calculated from area scraped/min (calculated from given powerfunctions and fish size) by dividing through bite rate/min and multiplying with 1.5 mm bite depth for </t>
    </r>
    <r>
      <rPr>
        <i/>
        <sz val="11"/>
        <color theme="1"/>
        <rFont val="Calibri"/>
        <family val="2"/>
        <scheme val="minor"/>
      </rPr>
      <t xml:space="preserve">C. strongylocephalus </t>
    </r>
    <r>
      <rPr>
        <sz val="11"/>
        <color theme="1"/>
        <rFont val="Calibri"/>
        <family val="2"/>
        <scheme val="minor"/>
      </rPr>
      <t xml:space="preserve">(after Bellwood 1995). Since only the greatest length and width of the scar were recorded, the bite size is likely to be an overestimation. </t>
    </r>
  </si>
  <si>
    <r>
      <t xml:space="preserve">Volumes were calculated from area scraped/min (calculated from given powerfunctions and fish size) by dividing through bite rate/min and multiplying with 0.1 mm bite depth for </t>
    </r>
    <r>
      <rPr>
        <i/>
        <sz val="11"/>
        <color theme="1"/>
        <rFont val="Calibri"/>
        <family val="2"/>
        <scheme val="minor"/>
      </rPr>
      <t xml:space="preserve">C. sordidus </t>
    </r>
    <r>
      <rPr>
        <sz val="11"/>
        <color theme="1"/>
        <rFont val="Calibri"/>
        <family val="2"/>
        <scheme val="minor"/>
      </rPr>
      <t xml:space="preserve">(after Bellwood 1995). Since only the greatest length and width of the scar were recorded, the bite size is likely to be an overestimation. </t>
    </r>
  </si>
  <si>
    <t>y=0.0001e^0.0947x, R2=0.9738</t>
  </si>
  <si>
    <t>y=1E-05x^2.4035, R2=0.8996</t>
  </si>
  <si>
    <t>data for the respective group provided by underlined species</t>
  </si>
  <si>
    <t xml:space="preserve">Proportion of bites leaving scars </t>
  </si>
  <si>
    <t>y=0.3462ln(x)-0.6532, R2=0.9988</t>
  </si>
  <si>
    <t>y=0.2616*e^0.0274x, R2=0.9994</t>
  </si>
  <si>
    <t>y=0.0176x-0.0158, R2=0.9223</t>
  </si>
  <si>
    <t>best fit trendline from original size classes</t>
  </si>
  <si>
    <t>1. Juveniles are excluded from bioerosion calculations as individuals &lt;15 cm do not produce visible scars or contribute significantly to erosion (e.g. Ong &amp; Holland 2010, Lokrantz et al. 2008).</t>
  </si>
  <si>
    <t>5. Grey text indicates substitute values from other phase/size class or values where no specific size was given.</t>
  </si>
  <si>
    <t>6. Greyed out cells indicate size classes above the maximum length of the species reported at fishbase.org.</t>
  </si>
  <si>
    <t>y=-1.12+1.13log(x)</t>
  </si>
  <si>
    <t>formula given in study</t>
  </si>
  <si>
    <t>y=0.00147*x^3.11, R2=0.964</t>
  </si>
  <si>
    <r>
      <t xml:space="preserve">substituted with </t>
    </r>
    <r>
      <rPr>
        <i/>
        <sz val="11"/>
        <color theme="1"/>
        <rFont val="Calibri"/>
        <family val="2"/>
        <scheme val="minor"/>
      </rPr>
      <t xml:space="preserve">S. rubroviolaceus </t>
    </r>
    <r>
      <rPr>
        <sz val="11"/>
        <color theme="1"/>
        <rFont val="Calibri"/>
        <family val="2"/>
        <scheme val="minor"/>
      </rPr>
      <t>(closest relative)</t>
    </r>
  </si>
  <si>
    <r>
      <t xml:space="preserve">Scarus </t>
    </r>
    <r>
      <rPr>
        <i/>
        <u/>
        <sz val="11"/>
        <color theme="1"/>
        <rFont val="Calibri"/>
        <family val="2"/>
        <scheme val="minor"/>
      </rPr>
      <t>rubroviolaceus</t>
    </r>
  </si>
  <si>
    <t>Size class specific erosion rates</t>
  </si>
  <si>
    <t>Indian Ocean Species</t>
  </si>
  <si>
    <t>Calatomus carolinus</t>
  </si>
  <si>
    <t>Leptoscarus viagiensis</t>
  </si>
  <si>
    <t>Hipposcarus harid</t>
  </si>
  <si>
    <t>Chlorurus capistratoides</t>
  </si>
  <si>
    <t>Chlorurus japanensis</t>
  </si>
  <si>
    <t>Scarus caudofasciatus</t>
  </si>
  <si>
    <t>Scarus falcipinnis</t>
  </si>
  <si>
    <t>Scarus festivus</t>
  </si>
  <si>
    <t>Scarus russellii</t>
  </si>
  <si>
    <t>Scarus scaber</t>
  </si>
  <si>
    <t>Scarus tricolor</t>
  </si>
  <si>
    <t>Scarus viridifucatus</t>
  </si>
  <si>
    <t>Proportion of bites leaving scars</t>
  </si>
  <si>
    <t>Groups are based on sister species or clades in Choat et al. (2012) and Bonaldo et al. (2014)</t>
  </si>
  <si>
    <t>Excavator</t>
  </si>
  <si>
    <t>occ. Excavator</t>
  </si>
  <si>
    <t>Scraper</t>
  </si>
  <si>
    <r>
      <t xml:space="preserve">% of day feeding </t>
    </r>
    <r>
      <rPr>
        <sz val="11"/>
        <color theme="1"/>
        <rFont val="Calibri"/>
        <family val="2"/>
        <scheme val="minor"/>
      </rPr>
      <t>(Bellwood et al. 1995)</t>
    </r>
  </si>
  <si>
    <t>Scarus ferrugineus/persicus</t>
  </si>
  <si>
    <r>
      <t xml:space="preserve">Chlorurus gibbus </t>
    </r>
    <r>
      <rPr>
        <sz val="11"/>
        <color theme="1"/>
        <rFont val="Calibri"/>
        <family val="2"/>
        <scheme val="minor"/>
      </rPr>
      <t>and large parrotfish</t>
    </r>
  </si>
  <si>
    <r>
      <t xml:space="preserve">Chlorurus sordidus </t>
    </r>
    <r>
      <rPr>
        <sz val="11"/>
        <color theme="1"/>
        <rFont val="Calibri"/>
        <family val="2"/>
        <scheme val="minor"/>
      </rPr>
      <t>and small parrotfish</t>
    </r>
  </si>
  <si>
    <r>
      <t>Substrate density (g cm</t>
    </r>
    <r>
      <rPr>
        <b/>
        <vertAlign val="superscript"/>
        <sz val="11"/>
        <color indexed="8"/>
        <rFont val="Calibri"/>
        <family val="2"/>
      </rPr>
      <t>-3</t>
    </r>
    <r>
      <rPr>
        <b/>
        <sz val="11"/>
        <color indexed="8"/>
        <rFont val="Calibri"/>
        <family val="2"/>
      </rPr>
      <t>)</t>
    </r>
  </si>
  <si>
    <r>
      <t>Bite rate (bites min</t>
    </r>
    <r>
      <rPr>
        <b/>
        <vertAlign val="superscript"/>
        <sz val="11"/>
        <color theme="1"/>
        <rFont val="Calibri"/>
        <family val="2"/>
        <scheme val="minor"/>
      </rPr>
      <t>-1</t>
    </r>
    <r>
      <rPr>
        <b/>
        <sz val="11"/>
        <color theme="1"/>
        <rFont val="Calibri"/>
        <family val="2"/>
        <scheme val="minor"/>
      </rPr>
      <t>)</t>
    </r>
  </si>
  <si>
    <r>
      <t>Bites leaving scars min</t>
    </r>
    <r>
      <rPr>
        <b/>
        <vertAlign val="superscript"/>
        <sz val="11"/>
        <color theme="1"/>
        <rFont val="Calibri"/>
        <family val="2"/>
        <scheme val="minor"/>
      </rPr>
      <t>-1</t>
    </r>
  </si>
  <si>
    <r>
      <t>Volume removed per day (cm</t>
    </r>
    <r>
      <rPr>
        <b/>
        <vertAlign val="superscript"/>
        <sz val="11"/>
        <color theme="1"/>
        <rFont val="Calibri"/>
        <family val="2"/>
        <scheme val="minor"/>
      </rPr>
      <t>3</t>
    </r>
    <r>
      <rPr>
        <b/>
        <sz val="11"/>
        <color theme="1"/>
        <rFont val="Calibri"/>
        <family val="2"/>
        <scheme val="minor"/>
      </rPr>
      <t>)</t>
    </r>
  </si>
  <si>
    <r>
      <t>Volume removed per bite (cm</t>
    </r>
    <r>
      <rPr>
        <b/>
        <vertAlign val="superscript"/>
        <sz val="11"/>
        <color theme="1"/>
        <rFont val="Calibri"/>
        <family val="2"/>
        <scheme val="minor"/>
      </rPr>
      <t>3</t>
    </r>
    <r>
      <rPr>
        <b/>
        <sz val="11"/>
        <color theme="1"/>
        <rFont val="Calibri"/>
        <family val="2"/>
        <scheme val="minor"/>
      </rPr>
      <t>)</t>
    </r>
  </si>
  <si>
    <t>Mass removed per year (kg)</t>
  </si>
  <si>
    <t>comaprisons for large individuals with adapted density values</t>
  </si>
  <si>
    <t>Mass removed per day (kg)</t>
  </si>
  <si>
    <t>Alwany 2009</t>
  </si>
  <si>
    <t>Yarlett et al. 2016</t>
  </si>
  <si>
    <t>2. In several studies, bite rates were not influenced by life phase but only by fish size (e.g. Afeworki et al. 2013), which is why in some cases, values from one phase were substituted with the same size class of the other phase to increase data coverage.</t>
  </si>
  <si>
    <t>averaged  species: understimation for C. strongylocephalus and overestimation for C. sordidus. Not used for averages</t>
  </si>
  <si>
    <r>
      <t xml:space="preserve">"It was not possible to estimate the depth of many </t>
    </r>
    <r>
      <rPr>
        <i/>
        <sz val="11"/>
        <color theme="1"/>
        <rFont val="Calibri"/>
        <family val="2"/>
        <scheme val="minor"/>
      </rPr>
      <t>Chlorurus sordidus</t>
    </r>
    <r>
      <rPr>
        <sz val="11"/>
        <color theme="1"/>
        <rFont val="Calibri"/>
        <family val="2"/>
        <scheme val="minor"/>
      </rPr>
      <t xml:space="preserve"> bites with accuracy, as many were &lt; 0.1 mm. A depth value of 0.1 mm was therefore used to permit a volume estimate for further calculations. This has probably resulted in an overestimate of the volume removed." Depth </t>
    </r>
    <r>
      <rPr>
        <i/>
        <sz val="11"/>
        <color theme="1"/>
        <rFont val="Calibri"/>
        <family val="2"/>
        <scheme val="minor"/>
      </rPr>
      <t>C. microrhinos:</t>
    </r>
    <r>
      <rPr>
        <sz val="11"/>
        <color theme="1"/>
        <rFont val="Calibri"/>
        <family val="2"/>
        <scheme val="minor"/>
      </rPr>
      <t xml:space="preserve"> 1.5 mm</t>
    </r>
  </si>
  <si>
    <r>
      <t xml:space="preserve">Scarus </t>
    </r>
    <r>
      <rPr>
        <i/>
        <u/>
        <sz val="11"/>
        <color theme="1"/>
        <rFont val="Calibri"/>
        <family val="2"/>
        <scheme val="minor"/>
      </rPr>
      <t>ghobban</t>
    </r>
  </si>
  <si>
    <t>Cetoscarus ocellatus</t>
  </si>
  <si>
    <t>Indian and Pacific Oceans</t>
  </si>
  <si>
    <t>Indian Ocean</t>
  </si>
  <si>
    <t>Indo-West Pacific</t>
  </si>
  <si>
    <t>Scarus prasiognathos</t>
  </si>
  <si>
    <t>Scarus russelii</t>
  </si>
  <si>
    <t>Calotomus carolinus</t>
  </si>
  <si>
    <t>Leptoscarus vaigiensis</t>
  </si>
  <si>
    <t>Species</t>
  </si>
  <si>
    <t>a</t>
  </si>
  <si>
    <t>b</t>
  </si>
  <si>
    <t>c</t>
  </si>
  <si>
    <t>Occurrence</t>
  </si>
  <si>
    <t>Pacific Ocean</t>
  </si>
  <si>
    <t>Maximum total length (cm)</t>
  </si>
  <si>
    <r>
      <rPr>
        <i/>
        <sz val="11"/>
        <color theme="1"/>
        <rFont val="Calibri"/>
        <family val="2"/>
        <scheme val="minor"/>
      </rPr>
      <t xml:space="preserve">Chlorurus </t>
    </r>
    <r>
      <rPr>
        <i/>
        <u/>
        <sz val="11"/>
        <color theme="1"/>
        <rFont val="Calibri"/>
        <family val="2"/>
        <scheme val="minor"/>
      </rPr>
      <t>perspicillatus</t>
    </r>
  </si>
  <si>
    <r>
      <rPr>
        <sz val="11"/>
        <color theme="1"/>
        <rFont val="Calibri"/>
        <family val="2"/>
        <scheme val="minor"/>
      </rPr>
      <t xml:space="preserve">largest size class substituted with </t>
    </r>
    <r>
      <rPr>
        <i/>
        <sz val="11"/>
        <color theme="1"/>
        <rFont val="Calibri"/>
        <family val="2"/>
        <scheme val="minor"/>
      </rPr>
      <t>C. strongylocephalus</t>
    </r>
  </si>
  <si>
    <t>Fox &amp; Bellwood 2007</t>
  </si>
  <si>
    <t>11-25cm</t>
  </si>
  <si>
    <t>&gt;25cm</t>
  </si>
  <si>
    <t>Chlorurus microrhinos</t>
  </si>
  <si>
    <t>&gt;30cm</t>
  </si>
  <si>
    <t>y=2E-06x^2.175, R2=0.9819</t>
  </si>
  <si>
    <t>Hoey et al. 2016</t>
  </si>
  <si>
    <t>Red Sea &amp; Gulf of Oman</t>
  </si>
  <si>
    <t>no sizes or range stated, adult fish</t>
  </si>
  <si>
    <t>Scarus persicus</t>
  </si>
  <si>
    <t>Scarus fuscopurpureus</t>
  </si>
  <si>
    <r>
      <t xml:space="preserve">Scarus </t>
    </r>
    <r>
      <rPr>
        <i/>
        <u/>
        <sz val="11"/>
        <color theme="1"/>
        <rFont val="Calibri"/>
        <family val="2"/>
        <scheme val="minor"/>
      </rPr>
      <t>ferrugineus/persicus</t>
    </r>
  </si>
  <si>
    <t>Fox, R. J., &amp; Bellwood, D. R. (2007). Quantifying herbivory across a coral reef depth gradient. Marine Ecology Progress Series, 339, 49-59.</t>
  </si>
  <si>
    <t>Length-Weight relationships</t>
  </si>
  <si>
    <t>Substitutes used (based on phylogeny in Choat et al. 2012, and known differences in size range and feeding behaviour)</t>
  </si>
  <si>
    <t>Froese R, Pauly D (2018) FishBase. World Wide Web electronic publication. www.fishbase.org (08/2018)</t>
  </si>
  <si>
    <r>
      <t>Biomass (kg m</t>
    </r>
    <r>
      <rPr>
        <vertAlign val="superscript"/>
        <sz val="11"/>
        <color theme="1"/>
        <rFont val="Arial"/>
        <family val="2"/>
      </rPr>
      <t>-2</t>
    </r>
    <r>
      <rPr>
        <sz val="11"/>
        <color theme="1"/>
        <rFont val="Arial"/>
        <family val="2"/>
      </rPr>
      <t>) = (a.(c.TL)</t>
    </r>
    <r>
      <rPr>
        <vertAlign val="superscript"/>
        <sz val="11"/>
        <color theme="1"/>
        <rFont val="Arial"/>
        <family val="2"/>
      </rPr>
      <t>b</t>
    </r>
    <r>
      <rPr>
        <sz val="11"/>
        <color theme="1"/>
        <rFont val="Arial"/>
        <family val="2"/>
      </rPr>
      <t>)/1000</t>
    </r>
  </si>
  <si>
    <t>Biomass is calculated from total length using the formula:</t>
  </si>
  <si>
    <r>
      <t xml:space="preserve">where a and b are averages of length-weight relationships published at fishbase.org (Froese &amp; Pauly 2018), weighted by the number of replicates and the goodness of fit in each study. </t>
    </r>
    <r>
      <rPr>
        <sz val="11"/>
        <color rgb="FF000000"/>
        <rFont val="Arial"/>
        <family val="2"/>
      </rPr>
      <t xml:space="preserve">TL is the total length of the fish in cm and c </t>
    </r>
    <r>
      <rPr>
        <sz val="11"/>
        <color theme="1"/>
        <rFont val="Arial"/>
        <family val="2"/>
      </rPr>
      <t>a conversion factor in case the relationships were derived from standard length instead of total length. Where there was no published relationship available for a particular species, the relationship for a species within the same genera, of similar size and geographic range was used.</t>
    </r>
  </si>
  <si>
    <r>
      <t xml:space="preserve">3. Bite volume has been shown to increase with fish size following a power function (Lokrantz et al. 2008). Therefore, original size class data from some studies were used to calculate power functions or exponential functions describing bite volume depending on fish size, which could then be used to calculate bite volumes for </t>
    </r>
    <r>
      <rPr>
        <i/>
        <sz val="10"/>
        <color indexed="8"/>
        <rFont val="Arial"/>
        <family val="2"/>
      </rPr>
      <t>ReefBudget</t>
    </r>
    <r>
      <rPr>
        <sz val="10"/>
        <color indexed="8"/>
        <rFont val="Arial"/>
        <family val="2"/>
      </rPr>
      <t xml:space="preserve"> size classes. Formulas are given in the notes section. </t>
    </r>
  </si>
  <si>
    <r>
      <t xml:space="preserve">4. Similarly, the proportion of bites leaving scars was shown to increase with fish size following a logarithmic function (Ong &amp; Holland 2010, Afeworki et al. 2013). Therefore, best-fit functions were computed from original size class data and used to calculate values for </t>
    </r>
    <r>
      <rPr>
        <i/>
        <sz val="10"/>
        <color indexed="8"/>
        <rFont val="Arial"/>
        <family val="2"/>
      </rPr>
      <t>ReefBudget</t>
    </r>
    <r>
      <rPr>
        <sz val="10"/>
        <color indexed="8"/>
        <rFont val="Arial"/>
        <family val="2"/>
      </rPr>
      <t xml:space="preserve"> size classes. </t>
    </r>
  </si>
  <si>
    <r>
      <t>Afeworki, Y., Bruggemann, J. H., &amp; Videler, J. J. (2011). Limited flexibility in resource use in a coral reef grazer foraging on seasonally changing algal communities. </t>
    </r>
    <r>
      <rPr>
        <i/>
        <sz val="10"/>
        <color rgb="FF222222"/>
        <rFont val="Arial"/>
        <family val="2"/>
      </rPr>
      <t>Coral Reefs</t>
    </r>
    <r>
      <rPr>
        <sz val="10"/>
        <color rgb="FF222222"/>
        <rFont val="Arial"/>
        <family val="2"/>
      </rPr>
      <t>, </t>
    </r>
    <r>
      <rPr>
        <i/>
        <sz val="10"/>
        <color rgb="FF222222"/>
        <rFont val="Arial"/>
        <family val="2"/>
      </rPr>
      <t>30</t>
    </r>
    <r>
      <rPr>
        <sz val="10"/>
        <color rgb="FF222222"/>
        <rFont val="Arial"/>
        <family val="2"/>
      </rPr>
      <t>(1), 109-122.</t>
    </r>
  </si>
  <si>
    <r>
      <t>Afeworki, Y., Zekeria, Z. A., Videler, J. J., &amp; Bruggemann, J. H. (2013). Food intake by the parrotfish Scarus ferrugineus varies seasonally and is determined by temperature, size and territoriality. </t>
    </r>
    <r>
      <rPr>
        <i/>
        <sz val="10"/>
        <color rgb="FF222222"/>
        <rFont val="Arial"/>
        <family val="2"/>
      </rPr>
      <t>Marine Ecology Progress Series</t>
    </r>
    <r>
      <rPr>
        <sz val="10"/>
        <color rgb="FF222222"/>
        <rFont val="Arial"/>
        <family val="2"/>
      </rPr>
      <t>, </t>
    </r>
    <r>
      <rPr>
        <i/>
        <sz val="10"/>
        <color rgb="FF222222"/>
        <rFont val="Arial"/>
        <family val="2"/>
      </rPr>
      <t>489</t>
    </r>
    <r>
      <rPr>
        <sz val="10"/>
        <color rgb="FF222222"/>
        <rFont val="Arial"/>
        <family val="2"/>
      </rPr>
      <t>, 213-224.</t>
    </r>
  </si>
  <si>
    <r>
      <t>Alwany, M. A., Thaler, E., &amp; Stachowitsch, M. (2009). Parrotfish bioerosion on Egyptian red sea reefs. </t>
    </r>
    <r>
      <rPr>
        <i/>
        <sz val="10"/>
        <color rgb="FF222222"/>
        <rFont val="Arial"/>
        <family val="2"/>
      </rPr>
      <t>Journal of experimental marine biology and ecology</t>
    </r>
    <r>
      <rPr>
        <sz val="10"/>
        <color rgb="FF222222"/>
        <rFont val="Arial"/>
        <family val="2"/>
      </rPr>
      <t>, </t>
    </r>
    <r>
      <rPr>
        <i/>
        <sz val="10"/>
        <color rgb="FF222222"/>
        <rFont val="Arial"/>
        <family val="2"/>
      </rPr>
      <t>371</t>
    </r>
    <r>
      <rPr>
        <sz val="10"/>
        <color rgb="FF222222"/>
        <rFont val="Arial"/>
        <family val="2"/>
      </rPr>
      <t>(2), 170-176.</t>
    </r>
  </si>
  <si>
    <r>
      <t>Bellwood, D. R., &amp; Choat, J. H. (1990). A functional analysis of grazing in parrotfishes (family Scaridae): the ecological implications. In </t>
    </r>
    <r>
      <rPr>
        <i/>
        <sz val="10"/>
        <color rgb="FF222222"/>
        <rFont val="Arial"/>
        <family val="2"/>
      </rPr>
      <t>Alternative life-history styles of fishes</t>
    </r>
    <r>
      <rPr>
        <sz val="10"/>
        <color rgb="FF222222"/>
        <rFont val="Arial"/>
        <family val="2"/>
      </rPr>
      <t> (pp. 189-214). Springer, Dordrecht.</t>
    </r>
  </si>
  <si>
    <r>
      <t>Bellwood, D. R. (1995). Direct estimate of bioerosion by two parrotfish species, Chlorurus gibbus and C. sordidus, on the Great Barrier Reef, Australia. </t>
    </r>
    <r>
      <rPr>
        <i/>
        <sz val="10"/>
        <color rgb="FF222222"/>
        <rFont val="Arial"/>
        <family val="2"/>
      </rPr>
      <t>Marine Biology</t>
    </r>
    <r>
      <rPr>
        <sz val="10"/>
        <color rgb="FF222222"/>
        <rFont val="Arial"/>
        <family val="2"/>
      </rPr>
      <t>, </t>
    </r>
    <r>
      <rPr>
        <i/>
        <sz val="10"/>
        <color rgb="FF222222"/>
        <rFont val="Arial"/>
        <family val="2"/>
      </rPr>
      <t>121</t>
    </r>
    <r>
      <rPr>
        <sz val="10"/>
        <color rgb="FF222222"/>
        <rFont val="Arial"/>
        <family val="2"/>
      </rPr>
      <t>(3), 419-429</t>
    </r>
  </si>
  <si>
    <r>
      <t>Bonaldo, R. M., Hoey, A. S., &amp; Bellwood, D. R. (2014). The ecosystem roles of parrotfishes on tropical reefs. </t>
    </r>
    <r>
      <rPr>
        <i/>
        <sz val="10"/>
        <color rgb="FF222222"/>
        <rFont val="Arial"/>
        <family val="2"/>
      </rPr>
      <t>Oceanography and Marine Biology: An Annual Review</t>
    </r>
    <r>
      <rPr>
        <sz val="10"/>
        <color rgb="FF222222"/>
        <rFont val="Arial"/>
        <family val="2"/>
      </rPr>
      <t>, </t>
    </r>
    <r>
      <rPr>
        <i/>
        <sz val="10"/>
        <color rgb="FF222222"/>
        <rFont val="Arial"/>
        <family val="2"/>
      </rPr>
      <t>52</t>
    </r>
    <r>
      <rPr>
        <sz val="10"/>
        <color rgb="FF222222"/>
        <rFont val="Arial"/>
        <family val="2"/>
      </rPr>
      <t>, 81-132.</t>
    </r>
  </si>
  <si>
    <r>
      <t>Choat, J. H., Klanten, O. S., Van Herwerden, L., Robertson, D. R., &amp; Clements, K. D. (2012). Patterns and processes in the evolutionary history of parrotfishes (Family Labridae). </t>
    </r>
    <r>
      <rPr>
        <i/>
        <sz val="10"/>
        <color rgb="FF222222"/>
        <rFont val="Arial"/>
        <family val="2"/>
      </rPr>
      <t>Biological Journal of the Linnean Society</t>
    </r>
    <r>
      <rPr>
        <sz val="10"/>
        <color rgb="FF222222"/>
        <rFont val="Arial"/>
        <family val="2"/>
      </rPr>
      <t>, </t>
    </r>
    <r>
      <rPr>
        <i/>
        <sz val="10"/>
        <color rgb="FF222222"/>
        <rFont val="Arial"/>
        <family val="2"/>
      </rPr>
      <t>107</t>
    </r>
    <r>
      <rPr>
        <sz val="10"/>
        <color rgb="FF222222"/>
        <rFont val="Arial"/>
        <family val="2"/>
      </rPr>
      <t>(3), 529-557.</t>
    </r>
  </si>
  <si>
    <r>
      <t>Lokrantz, J., Nyström, M., Thyresson, M., &amp; Johansson, C. (2008). The non-linear relationship between body size and function in parrotfishes. </t>
    </r>
    <r>
      <rPr>
        <i/>
        <sz val="10"/>
        <color rgb="FF222222"/>
        <rFont val="Arial"/>
        <family val="2"/>
      </rPr>
      <t>Coral Reefs</t>
    </r>
    <r>
      <rPr>
        <sz val="10"/>
        <color rgb="FF222222"/>
        <rFont val="Arial"/>
        <family val="2"/>
      </rPr>
      <t>, </t>
    </r>
    <r>
      <rPr>
        <i/>
        <sz val="10"/>
        <color rgb="FF222222"/>
        <rFont val="Arial"/>
        <family val="2"/>
      </rPr>
      <t>27</t>
    </r>
    <r>
      <rPr>
        <sz val="10"/>
        <color rgb="FF222222"/>
        <rFont val="Arial"/>
        <family val="2"/>
      </rPr>
      <t>(4), 967-974.</t>
    </r>
  </si>
  <si>
    <r>
      <t>Morgan, K. M., &amp; Kench, P. S. (2016). Parrotfish erosion underpins reef growth, sand talus development and island building in the Maldives. </t>
    </r>
    <r>
      <rPr>
        <i/>
        <sz val="10"/>
        <color rgb="FF222222"/>
        <rFont val="Arial"/>
        <family val="2"/>
      </rPr>
      <t>Sedimentary geology</t>
    </r>
    <r>
      <rPr>
        <sz val="10"/>
        <color rgb="FF222222"/>
        <rFont val="Arial"/>
        <family val="2"/>
      </rPr>
      <t>, </t>
    </r>
    <r>
      <rPr>
        <i/>
        <sz val="10"/>
        <color rgb="FF222222"/>
        <rFont val="Arial"/>
        <family val="2"/>
      </rPr>
      <t>341</t>
    </r>
    <r>
      <rPr>
        <sz val="10"/>
        <color rgb="FF222222"/>
        <rFont val="Arial"/>
        <family val="2"/>
      </rPr>
      <t>, 50-57.</t>
    </r>
  </si>
  <si>
    <r>
      <t>Ong, L., &amp; Holland, K. N. (2010). Bioerosion of coral reefs by two Hawaiian parrotfishes: species, size differences and fishery implications. </t>
    </r>
    <r>
      <rPr>
        <i/>
        <sz val="10"/>
        <color rgb="FF222222"/>
        <rFont val="Arial"/>
        <family val="2"/>
      </rPr>
      <t>Marine biology</t>
    </r>
    <r>
      <rPr>
        <sz val="10"/>
        <color rgb="FF222222"/>
        <rFont val="Arial"/>
        <family val="2"/>
      </rPr>
      <t>, </t>
    </r>
    <r>
      <rPr>
        <i/>
        <sz val="10"/>
        <color rgb="FF222222"/>
        <rFont val="Arial"/>
        <family val="2"/>
      </rPr>
      <t>157</t>
    </r>
    <r>
      <rPr>
        <sz val="10"/>
        <color rgb="FF222222"/>
        <rFont val="Arial"/>
        <family val="2"/>
      </rPr>
      <t>(6), 1313-1323.</t>
    </r>
  </si>
  <si>
    <r>
      <t>Yarlett, R. T., Perry, C. T., Wilson, R. W., &amp; Philpot, K. E. (2018). Constraining species-size class variability in rates of parrotfish bioerosion on Maldivian coral reefs: implications for regional-scale bioerosion estimates. </t>
    </r>
    <r>
      <rPr>
        <i/>
        <sz val="10"/>
        <color rgb="FF222222"/>
        <rFont val="Arial"/>
        <family val="2"/>
      </rPr>
      <t>Marine Ecology Progress Series</t>
    </r>
    <r>
      <rPr>
        <sz val="10"/>
        <color rgb="FF222222"/>
        <rFont val="Arial"/>
        <family val="2"/>
      </rPr>
      <t>, </t>
    </r>
    <r>
      <rPr>
        <i/>
        <sz val="10"/>
        <color rgb="FF222222"/>
        <rFont val="Arial"/>
        <family val="2"/>
      </rPr>
      <t>590</t>
    </r>
    <r>
      <rPr>
        <sz val="10"/>
        <color rgb="FF222222"/>
        <rFont val="Arial"/>
        <family val="2"/>
      </rPr>
      <t>, 155-169.</t>
    </r>
  </si>
  <si>
    <t>Indonesia</t>
  </si>
  <si>
    <t>from raw data</t>
  </si>
  <si>
    <t>from raw data, if no phase was given data points were averaged into both I and T phase</t>
  </si>
  <si>
    <t/>
  </si>
  <si>
    <r>
      <t>Chlorurus microrhinos</t>
    </r>
    <r>
      <rPr>
        <sz val="11"/>
        <color theme="1"/>
        <rFont val="Calibri"/>
        <family val="2"/>
        <scheme val="minor"/>
      </rPr>
      <t/>
    </r>
  </si>
  <si>
    <r>
      <t xml:space="preserve">Chlorurus </t>
    </r>
    <r>
      <rPr>
        <i/>
        <u/>
        <sz val="11"/>
        <color theme="1"/>
        <rFont val="Calibri"/>
        <family val="2"/>
        <scheme val="minor"/>
      </rPr>
      <t>sordidus/spilurus/bleekeri</t>
    </r>
  </si>
  <si>
    <r>
      <t xml:space="preserve">Chlorurus </t>
    </r>
    <r>
      <rPr>
        <i/>
        <u/>
        <sz val="11"/>
        <color theme="1"/>
        <rFont val="Calibri"/>
        <family val="2"/>
        <scheme val="minor"/>
      </rPr>
      <t>atrilunula/capistratoides</t>
    </r>
    <r>
      <rPr>
        <i/>
        <sz val="11"/>
        <color theme="1"/>
        <rFont val="Calibri"/>
        <family val="2"/>
        <scheme val="minor"/>
      </rPr>
      <t>/japanensis</t>
    </r>
  </si>
  <si>
    <r>
      <t xml:space="preserve">Chlorurus </t>
    </r>
    <r>
      <rPr>
        <i/>
        <u/>
        <sz val="11"/>
        <color theme="1"/>
        <rFont val="Calibri"/>
        <family val="2"/>
        <scheme val="minor"/>
      </rPr>
      <t>perspicillatus</t>
    </r>
    <r>
      <rPr>
        <i/>
        <sz val="11"/>
        <color theme="1"/>
        <rFont val="Calibri"/>
        <family val="2"/>
        <scheme val="minor"/>
      </rPr>
      <t>/enneacanthus/frontalis</t>
    </r>
  </si>
  <si>
    <t>GBR</t>
  </si>
  <si>
    <t>Hipposcarus longiceps</t>
  </si>
  <si>
    <t>Scarus altipinnis</t>
  </si>
  <si>
    <t>Scarus dimidiatus</t>
  </si>
  <si>
    <t>Scarus forsteni</t>
  </si>
  <si>
    <r>
      <t xml:space="preserve">Scarus </t>
    </r>
    <r>
      <rPr>
        <i/>
        <u/>
        <sz val="11"/>
        <color theme="1"/>
        <rFont val="Calibri"/>
        <family val="2"/>
        <scheme val="minor"/>
      </rPr>
      <t>frenatus</t>
    </r>
  </si>
  <si>
    <r>
      <t xml:space="preserve">Scarus </t>
    </r>
    <r>
      <rPr>
        <i/>
        <u/>
        <sz val="11"/>
        <color theme="1"/>
        <rFont val="Calibri"/>
        <family val="2"/>
        <scheme val="minor"/>
      </rPr>
      <t>psittacus</t>
    </r>
  </si>
  <si>
    <t>from raw data, if no phase was given, those data points were averaged into both I and T phase</t>
  </si>
  <si>
    <r>
      <t xml:space="preserve">Hipposcarus </t>
    </r>
    <r>
      <rPr>
        <i/>
        <u/>
        <sz val="11"/>
        <color theme="1"/>
        <rFont val="Calibri"/>
        <family val="2"/>
        <scheme val="minor"/>
      </rPr>
      <t>harid/longiceps</t>
    </r>
  </si>
  <si>
    <r>
      <t xml:space="preserve">Scarus </t>
    </r>
    <r>
      <rPr>
        <i/>
        <u/>
        <sz val="11"/>
        <color theme="1"/>
        <rFont val="Calibri"/>
        <family val="2"/>
        <scheme val="minor"/>
      </rPr>
      <t>schlegeli/flavipectoralis/fuscopurpureus</t>
    </r>
    <r>
      <rPr>
        <i/>
        <sz val="11"/>
        <color theme="1"/>
        <rFont val="Calibri"/>
        <family val="2"/>
        <scheme val="minor"/>
      </rPr>
      <t>/russelii</t>
    </r>
  </si>
  <si>
    <r>
      <t xml:space="preserve">Scarus </t>
    </r>
    <r>
      <rPr>
        <i/>
        <u/>
        <sz val="11"/>
        <color theme="1"/>
        <rFont val="Calibri"/>
        <family val="2"/>
        <scheme val="minor"/>
      </rPr>
      <t>spinus</t>
    </r>
    <r>
      <rPr>
        <i/>
        <sz val="11"/>
        <color theme="1"/>
        <rFont val="Calibri"/>
        <family val="2"/>
        <scheme val="minor"/>
      </rPr>
      <t>/viridifucatus/xanthopleura</t>
    </r>
  </si>
  <si>
    <r>
      <t xml:space="preserve">Scarus </t>
    </r>
    <r>
      <rPr>
        <i/>
        <u/>
        <sz val="11"/>
        <color theme="1"/>
        <rFont val="Calibri"/>
        <family val="2"/>
        <scheme val="minor"/>
      </rPr>
      <t>globiceps/rivulatus/chameleon</t>
    </r>
    <r>
      <rPr>
        <i/>
        <sz val="11"/>
        <color theme="1"/>
        <rFont val="Calibri"/>
        <family val="2"/>
        <scheme val="minor"/>
      </rPr>
      <t>/festivus</t>
    </r>
  </si>
  <si>
    <t>not used for avg as same data was used for Robinson et al. 2019</t>
  </si>
  <si>
    <r>
      <t xml:space="preserve">Scarus </t>
    </r>
    <r>
      <rPr>
        <i/>
        <u/>
        <sz val="11"/>
        <color theme="1"/>
        <rFont val="Calibri"/>
        <family val="2"/>
        <scheme val="minor"/>
      </rPr>
      <t>niger/altipinnis</t>
    </r>
  </si>
  <si>
    <r>
      <t xml:space="preserve">Scarus </t>
    </r>
    <r>
      <rPr>
        <i/>
        <u/>
        <sz val="11"/>
        <color theme="1"/>
        <rFont val="Calibri"/>
        <family val="2"/>
        <scheme val="minor"/>
      </rPr>
      <t>tricolor/forsteni</t>
    </r>
  </si>
  <si>
    <r>
      <t xml:space="preserve">Scarus </t>
    </r>
    <r>
      <rPr>
        <i/>
        <u/>
        <sz val="11"/>
        <color theme="1"/>
        <rFont val="Calibri"/>
        <family val="2"/>
        <scheme val="minor"/>
      </rPr>
      <t>prasiognathos</t>
    </r>
    <r>
      <rPr>
        <i/>
        <sz val="11"/>
        <color theme="1"/>
        <rFont val="Calibri"/>
        <family val="2"/>
        <scheme val="minor"/>
      </rPr>
      <t>/falcipinnis</t>
    </r>
  </si>
  <si>
    <r>
      <t xml:space="preserve">Scarus </t>
    </r>
    <r>
      <rPr>
        <i/>
        <u/>
        <sz val="11"/>
        <color theme="1"/>
        <rFont val="Calibri"/>
        <family val="2"/>
        <scheme val="minor"/>
      </rPr>
      <t>scaber/oviceps/dimidiatus</t>
    </r>
  </si>
  <si>
    <r>
      <t xml:space="preserve">Scarus </t>
    </r>
    <r>
      <rPr>
        <i/>
        <u/>
        <sz val="11"/>
        <color theme="1"/>
        <rFont val="Calibri"/>
        <family val="2"/>
        <scheme val="minor"/>
      </rPr>
      <t>spinus/viridifucatus</t>
    </r>
    <r>
      <rPr>
        <i/>
        <sz val="11"/>
        <color theme="1"/>
        <rFont val="Calibri"/>
        <family val="2"/>
        <scheme val="minor"/>
      </rPr>
      <t>/xanthopleura</t>
    </r>
  </si>
  <si>
    <t>Hipposcarus harid/longiceps</t>
  </si>
  <si>
    <t>Scarus prasiognathos/falcipinnis</t>
  </si>
  <si>
    <r>
      <t>Cetoscarus</t>
    </r>
    <r>
      <rPr>
        <i/>
        <u/>
        <sz val="11"/>
        <color theme="1"/>
        <rFont val="Calibri"/>
        <family val="2"/>
        <scheme val="minor"/>
      </rPr>
      <t xml:space="preserve"> bicolor</t>
    </r>
    <r>
      <rPr>
        <i/>
        <sz val="11"/>
        <color theme="1"/>
        <rFont val="Calibri"/>
        <family val="2"/>
        <scheme val="minor"/>
      </rPr>
      <t>/ocellatus</t>
    </r>
  </si>
  <si>
    <r>
      <t xml:space="preserve">Chlorurus </t>
    </r>
    <r>
      <rPr>
        <i/>
        <u/>
        <sz val="11"/>
        <color theme="1"/>
        <rFont val="Calibri"/>
        <family val="2"/>
        <scheme val="minor"/>
      </rPr>
      <t>sordidus/spilurus</t>
    </r>
    <r>
      <rPr>
        <i/>
        <sz val="11"/>
        <color theme="1"/>
        <rFont val="Calibri"/>
        <family val="2"/>
        <scheme val="minor"/>
      </rPr>
      <t>/bleekeri</t>
    </r>
  </si>
  <si>
    <t>Chlorurus atrilunula/capistratoides/japanensis</t>
  </si>
  <si>
    <r>
      <t xml:space="preserve">substituted with </t>
    </r>
    <r>
      <rPr>
        <i/>
        <sz val="11"/>
        <color theme="1"/>
        <rFont val="Calibri"/>
        <family val="2"/>
        <scheme val="minor"/>
      </rPr>
      <t>C. sordidus</t>
    </r>
    <r>
      <rPr>
        <sz val="11"/>
        <color theme="1"/>
        <rFont val="Calibri"/>
        <family val="2"/>
        <scheme val="minor"/>
      </rPr>
      <t xml:space="preserve"> (closest relative)</t>
    </r>
  </si>
  <si>
    <r>
      <t>Scarus</t>
    </r>
    <r>
      <rPr>
        <i/>
        <u/>
        <sz val="11"/>
        <color theme="1"/>
        <rFont val="Calibri"/>
        <family val="2"/>
        <scheme val="minor"/>
      </rPr>
      <t xml:space="preserve"> schlegeli/flavipectoralis</t>
    </r>
    <r>
      <rPr>
        <i/>
        <sz val="11"/>
        <color theme="1"/>
        <rFont val="Calibri"/>
        <family val="2"/>
        <scheme val="minor"/>
      </rPr>
      <t>/fuscopurpureus/russelii</t>
    </r>
  </si>
  <si>
    <r>
      <t xml:space="preserve">Scarus </t>
    </r>
    <r>
      <rPr>
        <i/>
        <u/>
        <sz val="11"/>
        <color theme="1"/>
        <rFont val="Calibri"/>
        <family val="2"/>
        <scheme val="minor"/>
      </rPr>
      <t>globiceps/rivulatus</t>
    </r>
    <r>
      <rPr>
        <i/>
        <sz val="11"/>
        <color theme="1"/>
        <rFont val="Calibri"/>
        <family val="2"/>
        <scheme val="minor"/>
      </rPr>
      <t>/chameleon/festivus</t>
    </r>
  </si>
  <si>
    <r>
      <rPr>
        <sz val="11"/>
        <color theme="1"/>
        <rFont val="Calibri"/>
        <family val="2"/>
        <scheme val="minor"/>
      </rPr>
      <t xml:space="preserve">substituted with </t>
    </r>
    <r>
      <rPr>
        <i/>
        <sz val="11"/>
        <color theme="1"/>
        <rFont val="Calibri"/>
        <family val="2"/>
        <scheme val="minor"/>
      </rPr>
      <t xml:space="preserve">S. frenatus </t>
    </r>
    <r>
      <rPr>
        <sz val="11"/>
        <color theme="1"/>
        <rFont val="Calibri"/>
        <family val="2"/>
        <scheme val="minor"/>
      </rPr>
      <t>(similar size and bodyshape)</t>
    </r>
  </si>
  <si>
    <r>
      <t xml:space="preserve">substituted with </t>
    </r>
    <r>
      <rPr>
        <i/>
        <sz val="11"/>
        <color theme="1"/>
        <rFont val="Calibri"/>
        <family val="2"/>
        <scheme val="minor"/>
      </rPr>
      <t>S. frenatus</t>
    </r>
    <r>
      <rPr>
        <sz val="11"/>
        <color theme="1"/>
        <rFont val="Calibri"/>
        <family val="2"/>
        <scheme val="minor"/>
      </rPr>
      <t xml:space="preserve"> (similar size and bodyshape)</t>
    </r>
  </si>
  <si>
    <r>
      <t xml:space="preserve">missing size classes substituted with </t>
    </r>
    <r>
      <rPr>
        <i/>
        <sz val="11"/>
        <color theme="1"/>
        <rFont val="Calibri"/>
        <family val="2"/>
        <scheme val="minor"/>
      </rPr>
      <t xml:space="preserve">S. frenatus </t>
    </r>
    <r>
      <rPr>
        <sz val="11"/>
        <color theme="1"/>
        <rFont val="Calibri"/>
        <family val="2"/>
        <scheme val="minor"/>
      </rPr>
      <t>(similar size and bodyshape)</t>
    </r>
  </si>
  <si>
    <t>y=0.3963ln(x)-0.5641, R2=0.899; except largest size class, which has been shown to always produce scars</t>
  </si>
  <si>
    <t>calculated from grazed area and 0.05 mm depth</t>
  </si>
  <si>
    <t xml:space="preserve">Raw data grouped into size classes. </t>
  </si>
  <si>
    <t>y = 4E-05x^2.3241, R² = 0.8317</t>
  </si>
  <si>
    <t>y = 5E-05x^2.2923, R² = 0.7348</t>
  </si>
  <si>
    <t>y = 0.0006e^0.0865x, R² = 0.4492</t>
  </si>
  <si>
    <r>
      <t xml:space="preserve">best fit trendline from all data points. Volumes were calculated from area scraped and multiplied with 1.5 mm bite depth for </t>
    </r>
    <r>
      <rPr>
        <i/>
        <sz val="11"/>
        <color theme="1"/>
        <rFont val="Calibri"/>
        <family val="2"/>
        <scheme val="minor"/>
      </rPr>
      <t>C. bicolor</t>
    </r>
    <r>
      <rPr>
        <sz val="11"/>
        <color theme="1"/>
        <rFont val="Calibri"/>
        <family val="2"/>
        <scheme val="minor"/>
      </rPr>
      <t xml:space="preserve"> and </t>
    </r>
    <r>
      <rPr>
        <i/>
        <sz val="11"/>
        <color theme="1"/>
        <rFont val="Calibri"/>
        <family val="2"/>
        <scheme val="minor"/>
      </rPr>
      <t>C. microrhinos</t>
    </r>
    <r>
      <rPr>
        <sz val="11"/>
        <color theme="1"/>
        <rFont val="Calibri"/>
        <family val="2"/>
        <scheme val="minor"/>
      </rPr>
      <t xml:space="preserve"> and 0.1 mm bite depth for C. sordidus (after Bellwood 1995). </t>
    </r>
  </si>
  <si>
    <t>y = 2E-05x^1.5749, R² = 0.3793</t>
  </si>
  <si>
    <t>y = 2E-05x^1.6147, R² = 0.304</t>
  </si>
  <si>
    <t>y = 0.0005e^0.0793x, R² = 0.7816</t>
  </si>
  <si>
    <t>y = 3E-05x^1.6843, R² = 0.4551</t>
  </si>
  <si>
    <r>
      <t>missing size classes substituted with</t>
    </r>
    <r>
      <rPr>
        <i/>
        <sz val="11"/>
        <color theme="1"/>
        <rFont val="Calibri"/>
        <family val="2"/>
        <scheme val="minor"/>
      </rPr>
      <t xml:space="preserve"> S. rubroviolaceus</t>
    </r>
    <r>
      <rPr>
        <sz val="11"/>
        <color theme="1"/>
        <rFont val="Calibri"/>
        <family val="2"/>
        <scheme val="minor"/>
      </rPr>
      <t xml:space="preserve"> (closest relative)</t>
    </r>
  </si>
  <si>
    <t>40-45 cm</t>
  </si>
  <si>
    <t>35-40cm</t>
  </si>
  <si>
    <t>Bonaldo &amp; Bellwood 2009</t>
  </si>
  <si>
    <t>measured scar depth of 3.75 mm as difference between algal heights not substrate surface. Not used for averages</t>
  </si>
  <si>
    <t>measured scar depth of 4.86 mm as difference between algal heights not substrate surface. Not used for averages</t>
  </si>
  <si>
    <r>
      <t xml:space="preserve">substituted with </t>
    </r>
    <r>
      <rPr>
        <i/>
        <sz val="11"/>
        <color theme="1"/>
        <rFont val="Calibri"/>
        <family val="2"/>
        <scheme val="minor"/>
      </rPr>
      <t>C. strongylocephalus</t>
    </r>
  </si>
  <si>
    <t xml:space="preserve">best fit trendline from 2.5 cm size classes. </t>
  </si>
  <si>
    <r>
      <t xml:space="preserve">Chlorurus </t>
    </r>
    <r>
      <rPr>
        <i/>
        <u/>
        <sz val="11"/>
        <color theme="1"/>
        <rFont val="Calibri"/>
        <family val="2"/>
        <scheme val="minor"/>
      </rPr>
      <t>strongylocephalus</t>
    </r>
    <r>
      <rPr>
        <i/>
        <sz val="11"/>
        <color theme="1"/>
        <rFont val="Calibri"/>
        <family val="2"/>
        <scheme val="minor"/>
      </rPr>
      <t>/microrhinos/gibbus</t>
    </r>
  </si>
  <si>
    <r>
      <t xml:space="preserve">Chlorurus </t>
    </r>
    <r>
      <rPr>
        <i/>
        <u/>
        <sz val="11"/>
        <color theme="1"/>
        <rFont val="Calibri"/>
        <family val="2"/>
        <scheme val="minor"/>
      </rPr>
      <t>sordidus</t>
    </r>
    <r>
      <rPr>
        <i/>
        <sz val="11"/>
        <color theme="1"/>
        <rFont val="Calibri"/>
        <family val="2"/>
        <scheme val="minor"/>
      </rPr>
      <t>/spilurus/bleekeri</t>
    </r>
  </si>
  <si>
    <r>
      <t xml:space="preserve">Scarus </t>
    </r>
    <r>
      <rPr>
        <i/>
        <u/>
        <sz val="11"/>
        <color theme="1"/>
        <rFont val="Calibri"/>
        <family val="2"/>
        <scheme val="minor"/>
      </rPr>
      <t>niger</t>
    </r>
    <r>
      <rPr>
        <i/>
        <sz val="11"/>
        <color theme="1"/>
        <rFont val="Calibri"/>
        <family val="2"/>
        <scheme val="minor"/>
      </rPr>
      <t>/altipinnis</t>
    </r>
  </si>
  <si>
    <r>
      <t xml:space="preserve">Scarus </t>
    </r>
    <r>
      <rPr>
        <i/>
        <u/>
        <sz val="11"/>
        <color theme="1"/>
        <rFont val="Calibri"/>
        <family val="2"/>
        <scheme val="minor"/>
      </rPr>
      <t>tricolor</t>
    </r>
    <r>
      <rPr>
        <i/>
        <sz val="11"/>
        <color theme="1"/>
        <rFont val="Calibri"/>
        <family val="2"/>
        <scheme val="minor"/>
      </rPr>
      <t>/forsteni</t>
    </r>
  </si>
  <si>
    <t>Scarus globiceps/rivulatus/chameleon/festivus</t>
  </si>
  <si>
    <r>
      <t xml:space="preserve">Scarus </t>
    </r>
    <r>
      <rPr>
        <i/>
        <u/>
        <sz val="11"/>
        <color theme="1"/>
        <rFont val="Calibri"/>
        <family val="2"/>
        <scheme val="minor"/>
      </rPr>
      <t>scaber</t>
    </r>
    <r>
      <rPr>
        <i/>
        <sz val="11"/>
        <color theme="1"/>
        <rFont val="Calibri"/>
        <family val="2"/>
        <scheme val="minor"/>
      </rPr>
      <t>/oviceps/dimidiatus</t>
    </r>
  </si>
  <si>
    <t>Scarus spinus/viridifucatus/xanthopleura</t>
  </si>
  <si>
    <t>Scarus schlegeli/flavipectoralis/fuscopurpureus/russelii</t>
  </si>
  <si>
    <t>y=0.1868x0.2188, R2=0.2917</t>
  </si>
  <si>
    <r>
      <rPr>
        <sz val="11"/>
        <color theme="1"/>
        <rFont val="Calibri"/>
        <family val="2"/>
        <scheme val="minor"/>
      </rPr>
      <t xml:space="preserve">substituted with </t>
    </r>
    <r>
      <rPr>
        <i/>
        <sz val="11"/>
        <color theme="1"/>
        <rFont val="Calibri"/>
        <family val="2"/>
        <scheme val="minor"/>
      </rPr>
      <t xml:space="preserve">S. scaber </t>
    </r>
    <r>
      <rPr>
        <sz val="11"/>
        <color theme="1"/>
        <rFont val="Calibri"/>
        <family val="2"/>
        <scheme val="minor"/>
      </rPr>
      <t>(similar size and bodyshape)</t>
    </r>
  </si>
  <si>
    <r>
      <rPr>
        <sz val="11"/>
        <color theme="1"/>
        <rFont val="Calibri"/>
        <family val="2"/>
        <scheme val="minor"/>
      </rPr>
      <t xml:space="preserve">substituted with </t>
    </r>
    <r>
      <rPr>
        <i/>
        <sz val="11"/>
        <color theme="1"/>
        <rFont val="Calibri"/>
        <family val="2"/>
        <scheme val="minor"/>
      </rPr>
      <t xml:space="preserve">S. psittacus </t>
    </r>
    <r>
      <rPr>
        <sz val="11"/>
        <color theme="1"/>
        <rFont val="Calibri"/>
        <family val="2"/>
        <scheme val="minor"/>
      </rPr>
      <t>(similar size and bodyshape)</t>
    </r>
  </si>
  <si>
    <r>
      <t>Bonaldo, R. M., &amp; Bellwood, D. R. (2009). Dynamics of parrotfish grazing scars. </t>
    </r>
    <r>
      <rPr>
        <i/>
        <sz val="10"/>
        <color rgb="FF222222"/>
        <rFont val="Arial"/>
        <family val="2"/>
      </rPr>
      <t>Marine Biology</t>
    </r>
    <r>
      <rPr>
        <sz val="10"/>
        <color rgb="FF222222"/>
        <rFont val="Arial"/>
        <family val="2"/>
      </rPr>
      <t>, </t>
    </r>
    <r>
      <rPr>
        <i/>
        <sz val="10"/>
        <color rgb="FF222222"/>
        <rFont val="Arial"/>
        <family val="2"/>
      </rPr>
      <t>156</t>
    </r>
    <r>
      <rPr>
        <sz val="10"/>
        <color rgb="FF222222"/>
        <rFont val="Arial"/>
        <family val="2"/>
      </rPr>
      <t>(4), 771-777.</t>
    </r>
  </si>
  <si>
    <t>Chlorurus sordidus/spilurus/bleekeri</t>
  </si>
  <si>
    <t>Scarus niger/altipinnis</t>
  </si>
  <si>
    <t>Scarus tricolor/forsteni</t>
  </si>
  <si>
    <t>Scarus scaber/oviceps/dimidiatus</t>
  </si>
  <si>
    <t>Chlorurus perspicillatus/enneacanthus/frontalis</t>
  </si>
  <si>
    <t>Browser, no effect on erosion</t>
  </si>
  <si>
    <t>Parrotfish in Chagos get very big (max 75 cm)</t>
  </si>
  <si>
    <r>
      <t xml:space="preserve">best fit trendline from all data points (if enough points, see formula) or raw data grouped into size classes. Volumes were calculated from area scraped and multiplied with </t>
    </r>
    <r>
      <rPr>
        <sz val="11"/>
        <color theme="1"/>
        <rFont val="Calibri"/>
        <family val="2"/>
        <scheme val="minor"/>
      </rPr>
      <t xml:space="preserve"> 0.1 mm bite depth (after Bellwood 1995). </t>
    </r>
  </si>
  <si>
    <r>
      <t xml:space="preserve">Cetoscarus ocellatus </t>
    </r>
    <r>
      <rPr>
        <sz val="11"/>
        <color theme="1"/>
        <rFont val="Calibri"/>
        <family val="2"/>
        <scheme val="minor"/>
      </rPr>
      <t xml:space="preserve">(as </t>
    </r>
    <r>
      <rPr>
        <i/>
        <sz val="11"/>
        <color theme="1"/>
        <rFont val="Calibri"/>
        <family val="2"/>
        <scheme val="minor"/>
      </rPr>
      <t>bicolor</t>
    </r>
    <r>
      <rPr>
        <sz val="11"/>
        <color theme="1"/>
        <rFont val="Calibri"/>
        <family val="2"/>
        <scheme val="minor"/>
      </rPr>
      <t>)</t>
    </r>
  </si>
  <si>
    <t>y=ax^b</t>
  </si>
  <si>
    <t>y=ax^b, &lt;40 cm TL 0.1 mm bite depth, &gt;40 cm 1 mm</t>
  </si>
  <si>
    <t>y=ax^b, 0.1 mm bite depth</t>
  </si>
  <si>
    <t>y=ax^b, bite depth 1.5 mm</t>
  </si>
  <si>
    <t>y=ax^b, bite depth 0.2 mm</t>
  </si>
  <si>
    <t>y=a+b*ln(x)</t>
  </si>
  <si>
    <r>
      <t>Hoey, A. S., Feary, D. A., Burt, J. A., Vaughan, G., Pratchett, M. S., &amp; Berumen, M. L. (2016). Regional variation in the structure and function of parrotfishes on Arabian reefs. </t>
    </r>
    <r>
      <rPr>
        <i/>
        <sz val="10"/>
        <color rgb="FF222222"/>
        <rFont val="Arial"/>
        <family val="2"/>
      </rPr>
      <t>Marine pollution bulletin</t>
    </r>
    <r>
      <rPr>
        <sz val="10"/>
        <color rgb="FF222222"/>
        <rFont val="Arial"/>
        <family val="2"/>
      </rPr>
      <t>, 105(2), 524-531.</t>
    </r>
  </si>
  <si>
    <r>
      <t>Robinson, J. P., McDevitt‐Irwin, J. M., Dajka, J. C., Hadj‐Hammou, J., Howlett, S., Graba‐Landry, A., ... &amp; Graham, N. A. (2020). Habitat and fishing control grazing potential on coral reefs. </t>
    </r>
    <r>
      <rPr>
        <i/>
        <sz val="10"/>
        <color theme="1"/>
        <rFont val="Arial"/>
        <family val="2"/>
      </rPr>
      <t>Functional Ecology</t>
    </r>
    <r>
      <rPr>
        <sz val="10"/>
        <color theme="1"/>
        <rFont val="Arial"/>
        <family val="2"/>
      </rPr>
      <t>, 34(1), 240-251.</t>
    </r>
  </si>
  <si>
    <t>Robinson et al. 2020</t>
  </si>
  <si>
    <t>Lange et al. 2020</t>
  </si>
  <si>
    <t>best fit trendline. Volumes were calculated from area scraped and multiplied with 1.5 mm bite depth for C. bicolor and C. microrhinos and 0.2 mm bite depth for C. sordidus.</t>
  </si>
  <si>
    <t>best fit trendline</t>
  </si>
  <si>
    <t>Indian Ocean species</t>
  </si>
  <si>
    <r>
      <t>Lange, I.D., Perry, C.T., Morgan, K.M., Roche, R., Benkwitt, C.E., Graham, N.A (2020). Site-Level Variation in Parrotfish Grazing and Bioerosion as a Function of Species-Specific Feeding Metrics. </t>
    </r>
    <r>
      <rPr>
        <i/>
        <sz val="10"/>
        <color rgb="FF222222"/>
        <rFont val="Arial"/>
        <family val="2"/>
      </rPr>
      <t>Diversity</t>
    </r>
    <r>
      <rPr>
        <sz val="10"/>
        <color rgb="FF222222"/>
        <rFont val="Arial"/>
        <family val="2"/>
      </rPr>
      <t>, 12, 379.</t>
    </r>
  </si>
  <si>
    <t>Chagos Archipelago</t>
  </si>
  <si>
    <t>For references and calculations see 'Bite rates', 'Scar volume' and 'Proportion leaving scars' tabs in this workbook</t>
  </si>
  <si>
    <t>&gt;60 cm</t>
  </si>
  <si>
    <t>&gt;60cm</t>
  </si>
  <si>
    <r>
      <t xml:space="preserve">largest size class substituted with </t>
    </r>
    <r>
      <rPr>
        <i/>
        <sz val="11"/>
        <color theme="1"/>
        <rFont val="Calibri"/>
        <family val="2"/>
        <scheme val="minor"/>
      </rPr>
      <t>S. frenatus</t>
    </r>
  </si>
  <si>
    <r>
      <t xml:space="preserve">larger size classes substituted with </t>
    </r>
    <r>
      <rPr>
        <i/>
        <sz val="11"/>
        <color theme="1"/>
        <rFont val="Calibri"/>
        <family val="2"/>
        <scheme val="minor"/>
      </rPr>
      <t>S. frenatus</t>
    </r>
  </si>
  <si>
    <t>61-70cm</t>
  </si>
  <si>
    <t>65cm</t>
  </si>
  <si>
    <r>
      <t xml:space="preserve">sister species to </t>
    </r>
    <r>
      <rPr>
        <i/>
        <sz val="11"/>
        <color theme="1"/>
        <rFont val="Calibri"/>
        <family val="2"/>
        <scheme val="minor"/>
      </rPr>
      <t>S. xanthopleura</t>
    </r>
    <r>
      <rPr>
        <sz val="11"/>
        <color theme="1"/>
        <rFont val="Calibri"/>
        <family val="2"/>
        <scheme val="minor"/>
      </rPr>
      <t xml:space="preserve">, larger size classes substituted with </t>
    </r>
    <r>
      <rPr>
        <i/>
        <sz val="11"/>
        <color theme="1"/>
        <rFont val="Calibri"/>
        <family val="2"/>
        <scheme val="minor"/>
      </rPr>
      <t>S. falcipinnis</t>
    </r>
    <r>
      <rPr>
        <sz val="11"/>
        <color theme="1"/>
        <rFont val="Calibri"/>
        <family val="2"/>
        <scheme val="minor"/>
      </rPr>
      <t xml:space="preserve"> (similar size)</t>
    </r>
  </si>
  <si>
    <r>
      <t xml:space="preserve">7. Species groups in the summary tables are based on clades in Choat et al. 2012 and Bonaldo et al. 2014. Data for the respective groups are provided by the underlined species. </t>
    </r>
    <r>
      <rPr>
        <sz val="10"/>
        <rFont val="Arial"/>
        <family val="2"/>
      </rPr>
      <t xml:space="preserve">Last update: June 2020 (data); </t>
    </r>
    <r>
      <rPr>
        <sz val="10"/>
        <color theme="1"/>
        <rFont val="Arial"/>
        <family val="2"/>
      </rPr>
      <t>Apr 2023 (debug &amp; size &gt;60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</si>
</sst>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
    <numFmt numFmtId="166" formatCode="0.0000"/>
    <numFmt numFmtId="167" formatCode="0.000"/>
  </numFmts>
  <fonts count="39" x14ac:knownFonts="1">
    <font>
      <sz val="11"/>
      <color theme="1"/>
      <name val="Calibri"/>
      <family val="2"/>
      <scheme val="minor"/>
    </font>
    <font>
      <b/>
      <sz val="11"/>
      <color theme="1"/>
      <name val="Calibri"/>
      <family val="2"/>
      <scheme val="minor"/>
    </font>
    <font>
      <b/>
      <sz val="11"/>
      <color indexed="8"/>
      <name val="Calibri"/>
      <family val="2"/>
    </font>
    <font>
      <i/>
      <sz val="11"/>
      <color theme="1"/>
      <name val="Calibri"/>
      <family val="2"/>
      <scheme val="minor"/>
    </font>
    <font>
      <i/>
      <sz val="14"/>
      <color theme="1"/>
      <name val="Calibri"/>
      <family val="2"/>
      <scheme val="minor"/>
    </font>
    <font>
      <sz val="9"/>
      <color theme="1"/>
      <name val="Calibri"/>
      <family val="2"/>
      <scheme val="minor"/>
    </font>
    <font>
      <sz val="11"/>
      <color indexed="8"/>
      <name val="Calibri"/>
      <family val="2"/>
    </font>
    <font>
      <sz val="11"/>
      <color theme="0" tint="-0.249977111117893"/>
      <name val="Calibri"/>
      <family val="2"/>
      <scheme val="minor"/>
    </font>
    <font>
      <sz val="11"/>
      <color theme="0" tint="-0.34998626667073579"/>
      <name val="Calibri"/>
      <family val="2"/>
      <scheme val="minor"/>
    </font>
    <font>
      <sz val="11"/>
      <name val="Calibri"/>
      <family val="2"/>
      <scheme val="minor"/>
    </font>
    <font>
      <b/>
      <sz val="12"/>
      <color theme="1"/>
      <name val="Calibri"/>
      <family val="2"/>
      <scheme val="minor"/>
    </font>
    <font>
      <i/>
      <u/>
      <sz val="11"/>
      <color theme="1"/>
      <name val="Calibri"/>
      <family val="2"/>
      <scheme val="minor"/>
    </font>
    <font>
      <b/>
      <vertAlign val="superscript"/>
      <sz val="12"/>
      <color theme="1"/>
      <name val="Calibri"/>
      <family val="2"/>
      <scheme val="minor"/>
    </font>
    <font>
      <i/>
      <sz val="11"/>
      <color indexed="8"/>
      <name val="Calibri"/>
      <family val="2"/>
    </font>
    <font>
      <sz val="11"/>
      <color rgb="FFFF0000"/>
      <name val="Calibri"/>
      <family val="2"/>
    </font>
    <font>
      <sz val="11"/>
      <name val="Calibri"/>
      <family val="2"/>
    </font>
    <font>
      <sz val="10"/>
      <color indexed="8"/>
      <name val="Calibri"/>
      <family val="2"/>
    </font>
    <font>
      <i/>
      <sz val="11"/>
      <name val="Calibri"/>
      <family val="2"/>
    </font>
    <font>
      <b/>
      <vertAlign val="superscript"/>
      <sz val="11"/>
      <color indexed="8"/>
      <name val="Calibri"/>
      <family val="2"/>
    </font>
    <font>
      <b/>
      <vertAlign val="superscript"/>
      <sz val="11"/>
      <color theme="1"/>
      <name val="Calibri"/>
      <family val="2"/>
      <scheme val="minor"/>
    </font>
    <font>
      <i/>
      <sz val="9"/>
      <color theme="1"/>
      <name val="Calibri"/>
      <family val="2"/>
      <scheme val="minor"/>
    </font>
    <font>
      <b/>
      <sz val="11"/>
      <name val="Calibri"/>
      <family val="2"/>
      <scheme val="minor"/>
    </font>
    <font>
      <i/>
      <sz val="11"/>
      <name val="Calibri"/>
      <family val="2"/>
      <scheme val="minor"/>
    </font>
    <font>
      <sz val="11"/>
      <color theme="1"/>
      <name val="Arial"/>
      <family val="2"/>
    </font>
    <font>
      <vertAlign val="superscript"/>
      <sz val="11"/>
      <color theme="1"/>
      <name val="Arial"/>
      <family val="2"/>
    </font>
    <font>
      <sz val="11"/>
      <color rgb="FF000000"/>
      <name val="Arial"/>
      <family val="2"/>
    </font>
    <font>
      <b/>
      <sz val="10"/>
      <color theme="1"/>
      <name val="Arial"/>
      <family val="2"/>
    </font>
    <font>
      <sz val="10"/>
      <color indexed="8"/>
      <name val="Arial"/>
      <family val="2"/>
    </font>
    <font>
      <i/>
      <sz val="10"/>
      <color indexed="8"/>
      <name val="Arial"/>
      <family val="2"/>
    </font>
    <font>
      <sz val="10"/>
      <color theme="1"/>
      <name val="Arial"/>
      <family val="2"/>
    </font>
    <font>
      <sz val="10"/>
      <color rgb="FF222222"/>
      <name val="Arial"/>
      <family val="2"/>
    </font>
    <font>
      <i/>
      <sz val="10"/>
      <color rgb="FF222222"/>
      <name val="Arial"/>
      <family val="2"/>
    </font>
    <font>
      <sz val="11"/>
      <color theme="0" tint="-0.249977111117893"/>
      <name val="Calibri"/>
      <family val="2"/>
    </font>
    <font>
      <sz val="11"/>
      <color rgb="FF595959"/>
      <name val="Calibri"/>
      <family val="2"/>
      <scheme val="minor"/>
    </font>
    <font>
      <sz val="7"/>
      <color rgb="FF222222"/>
      <name val="Arial"/>
      <family val="2"/>
    </font>
    <font>
      <sz val="11"/>
      <color rgb="FFFF0000"/>
      <name val="Calibri"/>
      <family val="2"/>
      <scheme val="minor"/>
    </font>
    <font>
      <sz val="11"/>
      <color theme="0" tint="-0.34998626667073579"/>
      <name val="Calibri"/>
      <family val="2"/>
    </font>
    <font>
      <i/>
      <sz val="10"/>
      <color theme="1"/>
      <name val="Arial"/>
      <family val="2"/>
    </font>
    <font>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22"/>
        <bgColor indexed="64"/>
      </patternFill>
    </fill>
  </fills>
  <borders count="4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style="thin">
        <color indexed="64"/>
      </top>
      <bottom style="thin">
        <color indexed="64"/>
      </bottom>
      <diagonal/>
    </border>
  </borders>
  <cellStyleXfs count="1">
    <xf numFmtId="0" fontId="0" fillId="0" borderId="0"/>
  </cellStyleXfs>
  <cellXfs count="374">
    <xf numFmtId="0" fontId="0" fillId="0" borderId="0" xfId="0"/>
    <xf numFmtId="0" fontId="2" fillId="2" borderId="0" xfId="0" applyFont="1" applyFill="1" applyAlignment="1">
      <alignment horizontal="center"/>
    </xf>
    <xf numFmtId="0" fontId="3" fillId="0" borderId="0" xfId="0" applyFont="1"/>
    <xf numFmtId="0" fontId="2" fillId="0" borderId="0" xfId="0" applyFont="1" applyAlignment="1">
      <alignment horizontal="center"/>
    </xf>
    <xf numFmtId="2" fontId="0" fillId="0" borderId="0" xfId="0" applyNumberFormat="1"/>
    <xf numFmtId="0" fontId="0" fillId="0" borderId="2" xfId="0" applyBorder="1"/>
    <xf numFmtId="0" fontId="3" fillId="0" borderId="3" xfId="0" applyFont="1" applyBorder="1"/>
    <xf numFmtId="2" fontId="0" fillId="0" borderId="5" xfId="0" applyNumberFormat="1" applyBorder="1"/>
    <xf numFmtId="2" fontId="0" fillId="0" borderId="6" xfId="0" applyNumberFormat="1" applyBorder="1"/>
    <xf numFmtId="2" fontId="0" fillId="0" borderId="3" xfId="0" applyNumberFormat="1" applyBorder="1"/>
    <xf numFmtId="2" fontId="0" fillId="0" borderId="1" xfId="0" applyNumberFormat="1" applyBorder="1"/>
    <xf numFmtId="0" fontId="0" fillId="0" borderId="7" xfId="0" applyBorder="1"/>
    <xf numFmtId="2" fontId="0" fillId="0" borderId="8" xfId="0" applyNumberFormat="1" applyBorder="1"/>
    <xf numFmtId="0" fontId="2" fillId="0" borderId="1" xfId="0" applyFont="1" applyBorder="1" applyAlignment="1">
      <alignment horizontal="center"/>
    </xf>
    <xf numFmtId="164" fontId="0" fillId="0" borderId="0" xfId="0" applyNumberFormat="1"/>
    <xf numFmtId="164" fontId="0" fillId="0" borderId="5" xfId="0" applyNumberFormat="1" applyBorder="1"/>
    <xf numFmtId="164" fontId="0" fillId="0" borderId="6" xfId="0" applyNumberFormat="1" applyBorder="1"/>
    <xf numFmtId="164" fontId="0" fillId="0" borderId="8" xfId="0" applyNumberFormat="1" applyBorder="1"/>
    <xf numFmtId="164" fontId="0" fillId="0" borderId="3" xfId="0" applyNumberFormat="1" applyBorder="1"/>
    <xf numFmtId="0" fontId="0" fillId="3" borderId="0" xfId="0" applyFill="1"/>
    <xf numFmtId="164" fontId="2" fillId="2" borderId="0" xfId="0" applyNumberFormat="1" applyFont="1" applyFill="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6" fillId="0" borderId="0" xfId="0" applyFont="1" applyAlignment="1">
      <alignment horizontal="center"/>
    </xf>
    <xf numFmtId="2" fontId="0" fillId="3" borderId="0" xfId="0" applyNumberFormat="1" applyFill="1"/>
    <xf numFmtId="0" fontId="0" fillId="2" borderId="0" xfId="0" applyFill="1"/>
    <xf numFmtId="1" fontId="0" fillId="0" borderId="0" xfId="0" applyNumberFormat="1"/>
    <xf numFmtId="2" fontId="6" fillId="0" borderId="0" xfId="0" applyNumberFormat="1" applyFont="1" applyAlignment="1">
      <alignment horizontal="left"/>
    </xf>
    <xf numFmtId="2" fontId="0" fillId="5" borderId="3" xfId="0" applyNumberFormat="1" applyFill="1" applyBorder="1"/>
    <xf numFmtId="2" fontId="0" fillId="5" borderId="1" xfId="0" applyNumberFormat="1" applyFill="1" applyBorder="1"/>
    <xf numFmtId="2" fontId="0" fillId="5" borderId="0" xfId="0" applyNumberFormat="1" applyFill="1"/>
    <xf numFmtId="2" fontId="0" fillId="5" borderId="8" xfId="0" applyNumberFormat="1" applyFill="1" applyBorder="1"/>
    <xf numFmtId="0" fontId="6" fillId="0" borderId="0" xfId="0" applyFont="1" applyAlignment="1">
      <alignment horizontal="left"/>
    </xf>
    <xf numFmtId="0" fontId="0" fillId="0" borderId="8" xfId="0" applyBorder="1"/>
    <xf numFmtId="0" fontId="0" fillId="0" borderId="0" xfId="0" applyAlignment="1">
      <alignment horizontal="center" wrapText="1"/>
    </xf>
    <xf numFmtId="0" fontId="0" fillId="2" borderId="4" xfId="0" applyFill="1" applyBorder="1"/>
    <xf numFmtId="0" fontId="0" fillId="2" borderId="5" xfId="0" applyFill="1" applyBorder="1"/>
    <xf numFmtId="0" fontId="2" fillId="2" borderId="5" xfId="0" applyFont="1" applyFill="1" applyBorder="1" applyAlignment="1">
      <alignment horizontal="center"/>
    </xf>
    <xf numFmtId="2" fontId="8" fillId="5" borderId="8" xfId="0" applyNumberFormat="1" applyFont="1" applyFill="1" applyBorder="1"/>
    <xf numFmtId="2" fontId="7" fillId="0" borderId="0" xfId="0" applyNumberFormat="1" applyFont="1"/>
    <xf numFmtId="0" fontId="5" fillId="0" borderId="7" xfId="0" applyFont="1" applyBorder="1"/>
    <xf numFmtId="0" fontId="0" fillId="2" borderId="7" xfId="0" applyFill="1" applyBorder="1"/>
    <xf numFmtId="0" fontId="2" fillId="2" borderId="8" xfId="0" applyFont="1" applyFill="1" applyBorder="1" applyAlignment="1">
      <alignment horizontal="center"/>
    </xf>
    <xf numFmtId="2" fontId="7" fillId="5" borderId="0" xfId="0" applyNumberFormat="1" applyFont="1" applyFill="1"/>
    <xf numFmtId="0" fontId="0" fillId="5" borderId="0" xfId="0" applyFill="1"/>
    <xf numFmtId="0" fontId="0" fillId="2" borderId="8" xfId="0" applyFill="1" applyBorder="1"/>
    <xf numFmtId="0" fontId="0" fillId="5" borderId="8" xfId="0" applyFill="1" applyBorder="1"/>
    <xf numFmtId="2" fontId="1" fillId="2" borderId="0" xfId="0" applyNumberFormat="1" applyFont="1" applyFill="1" applyAlignment="1">
      <alignment horizontal="center"/>
    </xf>
    <xf numFmtId="2" fontId="7" fillId="0" borderId="8" xfId="0" applyNumberFormat="1" applyFont="1" applyBorder="1"/>
    <xf numFmtId="2" fontId="8" fillId="0" borderId="0" xfId="0" applyNumberFormat="1" applyFont="1"/>
    <xf numFmtId="2" fontId="8" fillId="5" borderId="0" xfId="0" applyNumberFormat="1" applyFont="1" applyFill="1"/>
    <xf numFmtId="2" fontId="8" fillId="0" borderId="8" xfId="0" applyNumberFormat="1" applyFont="1" applyBorder="1"/>
    <xf numFmtId="0" fontId="8" fillId="0" borderId="0" xfId="0" applyFont="1"/>
    <xf numFmtId="0" fontId="8" fillId="2" borderId="0" xfId="0" applyFont="1" applyFill="1"/>
    <xf numFmtId="2" fontId="0" fillId="2" borderId="0" xfId="0" applyNumberFormat="1" applyFill="1"/>
    <xf numFmtId="0" fontId="0" fillId="4" borderId="4" xfId="0" applyFill="1" applyBorder="1"/>
    <xf numFmtId="0" fontId="3" fillId="3" borderId="5" xfId="0" applyFont="1" applyFill="1" applyBorder="1"/>
    <xf numFmtId="0" fontId="0" fillId="3" borderId="7" xfId="0" applyFill="1" applyBorder="1"/>
    <xf numFmtId="0" fontId="3" fillId="3" borderId="0" xfId="0" applyFont="1" applyFill="1"/>
    <xf numFmtId="0" fontId="0" fillId="3" borderId="2" xfId="0" applyFill="1" applyBorder="1"/>
    <xf numFmtId="0" fontId="3" fillId="3" borderId="3" xfId="0" applyFont="1" applyFill="1" applyBorder="1"/>
    <xf numFmtId="0" fontId="1" fillId="3" borderId="7" xfId="0" applyFont="1" applyFill="1" applyBorder="1"/>
    <xf numFmtId="2" fontId="9" fillId="0" borderId="0" xfId="0" applyNumberFormat="1" applyFont="1"/>
    <xf numFmtId="2" fontId="1" fillId="2" borderId="8" xfId="0" applyNumberFormat="1" applyFont="1" applyFill="1" applyBorder="1" applyAlignment="1">
      <alignment horizontal="center"/>
    </xf>
    <xf numFmtId="0" fontId="1" fillId="3" borderId="9" xfId="0" applyFont="1" applyFill="1" applyBorder="1"/>
    <xf numFmtId="0" fontId="9" fillId="2" borderId="0" xfId="0" applyFont="1" applyFill="1"/>
    <xf numFmtId="0" fontId="1" fillId="0" borderId="0" xfId="0" applyFont="1" applyAlignment="1">
      <alignment wrapText="1"/>
    </xf>
    <xf numFmtId="0" fontId="1" fillId="0" borderId="0" xfId="0" applyFont="1"/>
    <xf numFmtId="0" fontId="0" fillId="0" borderId="0" xfId="0" applyAlignment="1">
      <alignment wrapText="1"/>
    </xf>
    <xf numFmtId="0" fontId="10" fillId="0" borderId="0" xfId="0" applyFont="1" applyAlignment="1">
      <alignment horizontal="center" vertical="center"/>
    </xf>
    <xf numFmtId="0" fontId="1" fillId="0" borderId="10" xfId="0" applyFont="1" applyBorder="1"/>
    <xf numFmtId="0" fontId="1" fillId="0" borderId="11" xfId="0" applyFont="1" applyBorder="1"/>
    <xf numFmtId="166" fontId="0" fillId="5" borderId="0" xfId="0" applyNumberFormat="1" applyFill="1"/>
    <xf numFmtId="164" fontId="0" fillId="5" borderId="0" xfId="0" applyNumberFormat="1" applyFill="1"/>
    <xf numFmtId="164" fontId="7" fillId="0" borderId="0" xfId="0" applyNumberFormat="1" applyFont="1"/>
    <xf numFmtId="164" fontId="0" fillId="5" borderId="8" xfId="0" applyNumberFormat="1" applyFill="1" applyBorder="1"/>
    <xf numFmtId="164" fontId="9" fillId="0" borderId="0" xfId="0" applyNumberFormat="1" applyFont="1"/>
    <xf numFmtId="164" fontId="8" fillId="0" borderId="0" xfId="0" applyNumberFormat="1" applyFont="1"/>
    <xf numFmtId="2" fontId="0" fillId="0" borderId="0" xfId="0" applyNumberFormat="1" applyAlignment="1">
      <alignment wrapText="1"/>
    </xf>
    <xf numFmtId="0" fontId="6" fillId="0" borderId="0" xfId="0" applyFont="1" applyAlignment="1">
      <alignment wrapText="1"/>
    </xf>
    <xf numFmtId="0" fontId="1" fillId="2" borderId="0" xfId="0" applyFont="1" applyFill="1" applyAlignment="1">
      <alignment horizontal="center"/>
    </xf>
    <xf numFmtId="0" fontId="1" fillId="2" borderId="8" xfId="0" applyFont="1" applyFill="1" applyBorder="1" applyAlignment="1">
      <alignment horizontal="center"/>
    </xf>
    <xf numFmtId="164" fontId="7" fillId="5" borderId="0" xfId="0" applyNumberFormat="1" applyFont="1" applyFill="1"/>
    <xf numFmtId="164" fontId="2" fillId="2" borderId="8" xfId="0" applyNumberFormat="1" applyFont="1" applyFill="1" applyBorder="1" applyAlignment="1">
      <alignment horizontal="center"/>
    </xf>
    <xf numFmtId="164" fontId="7" fillId="0" borderId="8" xfId="0" applyNumberFormat="1" applyFont="1" applyBorder="1"/>
    <xf numFmtId="164" fontId="8" fillId="0" borderId="8" xfId="0" applyNumberFormat="1" applyFont="1" applyBorder="1"/>
    <xf numFmtId="164" fontId="8" fillId="5" borderId="0" xfId="0" applyNumberFormat="1" applyFont="1" applyFill="1"/>
    <xf numFmtId="2" fontId="0" fillId="0" borderId="0" xfId="0" applyNumberFormat="1" applyAlignment="1">
      <alignment horizontal="center"/>
    </xf>
    <xf numFmtId="2" fontId="6" fillId="0" borderId="0" xfId="0" applyNumberFormat="1" applyFont="1" applyAlignment="1">
      <alignment horizontal="center"/>
    </xf>
    <xf numFmtId="2" fontId="14" fillId="0" borderId="0" xfId="0" applyNumberFormat="1" applyFont="1" applyAlignment="1">
      <alignment horizontal="center"/>
    </xf>
    <xf numFmtId="2" fontId="15" fillId="0" borderId="0" xfId="0" applyNumberFormat="1" applyFont="1" applyAlignment="1">
      <alignment horizontal="center"/>
    </xf>
    <xf numFmtId="0" fontId="0" fillId="2" borderId="0" xfId="0" applyFill="1" applyAlignment="1">
      <alignment horizontal="center"/>
    </xf>
    <xf numFmtId="0" fontId="0" fillId="0" borderId="0" xfId="0" applyAlignment="1">
      <alignment horizontal="left"/>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14" xfId="0" applyFill="1" applyBorder="1"/>
    <xf numFmtId="0" fontId="16" fillId="2" borderId="26" xfId="0" applyFont="1" applyFill="1" applyBorder="1"/>
    <xf numFmtId="0" fontId="1" fillId="2" borderId="31" xfId="0" applyFont="1" applyFill="1" applyBorder="1"/>
    <xf numFmtId="0" fontId="2" fillId="2" borderId="9" xfId="0" applyFont="1" applyFill="1" applyBorder="1" applyAlignment="1">
      <alignment horizontal="center"/>
    </xf>
    <xf numFmtId="0" fontId="2" fillId="2" borderId="32" xfId="0" applyFont="1" applyFill="1" applyBorder="1" applyAlignment="1">
      <alignment horizontal="center"/>
    </xf>
    <xf numFmtId="0" fontId="13" fillId="0" borderId="17" xfId="0" applyFont="1" applyBorder="1"/>
    <xf numFmtId="0" fontId="17" fillId="0" borderId="17" xfId="0" applyFont="1" applyBorder="1"/>
    <xf numFmtId="0" fontId="13" fillId="0" borderId="17" xfId="0" applyFont="1" applyBorder="1" applyAlignment="1">
      <alignment horizontal="left"/>
    </xf>
    <xf numFmtId="0" fontId="13" fillId="0" borderId="18" xfId="0" applyFont="1" applyBorder="1" applyAlignment="1">
      <alignment horizontal="left"/>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3" xfId="0" applyFont="1" applyFill="1" applyBorder="1" applyAlignment="1">
      <alignment horizontal="center"/>
    </xf>
    <xf numFmtId="0" fontId="2" fillId="2" borderId="35" xfId="0" applyFont="1" applyFill="1" applyBorder="1" applyAlignment="1">
      <alignment horizontal="center"/>
    </xf>
    <xf numFmtId="0" fontId="1" fillId="2" borderId="22" xfId="0" applyFont="1" applyFill="1" applyBorder="1"/>
    <xf numFmtId="2" fontId="0" fillId="0" borderId="13" xfId="0" applyNumberFormat="1" applyBorder="1"/>
    <xf numFmtId="2" fontId="0" fillId="0" borderId="14" xfId="0" applyNumberFormat="1" applyBorder="1"/>
    <xf numFmtId="2" fontId="0" fillId="5" borderId="14" xfId="0" applyNumberFormat="1" applyFill="1" applyBorder="1"/>
    <xf numFmtId="0" fontId="1" fillId="2" borderId="0" xfId="0" applyFont="1" applyFill="1"/>
    <xf numFmtId="2" fontId="0" fillId="0" borderId="35" xfId="0" applyNumberFormat="1" applyBorder="1"/>
    <xf numFmtId="0" fontId="2" fillId="2" borderId="0" xfId="0" applyFont="1" applyFill="1"/>
    <xf numFmtId="49" fontId="2" fillId="2" borderId="0" xfId="0" applyNumberFormat="1" applyFont="1" applyFill="1" applyAlignment="1">
      <alignment horizontal="center"/>
    </xf>
    <xf numFmtId="0" fontId="2" fillId="2" borderId="14" xfId="0" applyFont="1" applyFill="1" applyBorder="1" applyAlignment="1">
      <alignment horizontal="center"/>
    </xf>
    <xf numFmtId="0" fontId="2" fillId="0" borderId="0" xfId="0" applyFont="1"/>
    <xf numFmtId="49" fontId="2" fillId="0" borderId="0" xfId="0" applyNumberFormat="1" applyFont="1" applyAlignment="1">
      <alignment horizontal="center"/>
    </xf>
    <xf numFmtId="2" fontId="0" fillId="2" borderId="0" xfId="0" applyNumberFormat="1" applyFill="1" applyAlignment="1">
      <alignment horizontal="center"/>
    </xf>
    <xf numFmtId="0" fontId="6" fillId="2" borderId="0" xfId="0" applyFont="1" applyFill="1" applyAlignment="1">
      <alignment horizontal="center"/>
    </xf>
    <xf numFmtId="0" fontId="6" fillId="2" borderId="14" xfId="0" applyFont="1" applyFill="1" applyBorder="1" applyAlignment="1">
      <alignment horizontal="center"/>
    </xf>
    <xf numFmtId="2" fontId="6" fillId="2" borderId="0" xfId="0" applyNumberFormat="1" applyFont="1" applyFill="1" applyAlignment="1">
      <alignment horizontal="center"/>
    </xf>
    <xf numFmtId="0" fontId="0" fillId="2" borderId="14" xfId="0" applyFill="1" applyBorder="1" applyAlignment="1">
      <alignment horizontal="center"/>
    </xf>
    <xf numFmtId="0" fontId="0" fillId="0" borderId="0" xfId="0" applyAlignment="1">
      <alignment horizontal="center"/>
    </xf>
    <xf numFmtId="165" fontId="0" fillId="0" borderId="21" xfId="0" applyNumberFormat="1" applyBorder="1"/>
    <xf numFmtId="2" fontId="0" fillId="0" borderId="15" xfId="0" applyNumberFormat="1" applyBorder="1"/>
    <xf numFmtId="2" fontId="0" fillId="5" borderId="15" xfId="0" applyNumberFormat="1" applyFill="1" applyBorder="1"/>
    <xf numFmtId="2" fontId="0" fillId="5" borderId="16" xfId="0" applyNumberFormat="1" applyFill="1" applyBorder="1"/>
    <xf numFmtId="0" fontId="0" fillId="0" borderId="16" xfId="0" applyBorder="1"/>
    <xf numFmtId="0" fontId="2" fillId="6" borderId="36" xfId="0" applyFont="1" applyFill="1" applyBorder="1"/>
    <xf numFmtId="0" fontId="0" fillId="0" borderId="37" xfId="0" applyBorder="1"/>
    <xf numFmtId="0" fontId="2" fillId="2" borderId="15" xfId="0" applyFont="1" applyFill="1" applyBorder="1" applyAlignment="1">
      <alignment horizontal="center"/>
    </xf>
    <xf numFmtId="0" fontId="3" fillId="2" borderId="40" xfId="0" applyFont="1" applyFill="1" applyBorder="1"/>
    <xf numFmtId="2" fontId="0" fillId="0" borderId="4" xfId="0" applyNumberFormat="1" applyBorder="1"/>
    <xf numFmtId="0" fontId="3" fillId="2" borderId="5" xfId="0" applyFont="1" applyFill="1" applyBorder="1"/>
    <xf numFmtId="0" fontId="3" fillId="2" borderId="22" xfId="0" applyFont="1" applyFill="1" applyBorder="1"/>
    <xf numFmtId="2" fontId="0" fillId="0" borderId="7" xfId="0" applyNumberFormat="1" applyBorder="1"/>
    <xf numFmtId="0" fontId="3" fillId="2" borderId="0" xfId="0" applyFont="1" applyFill="1"/>
    <xf numFmtId="0" fontId="3" fillId="2" borderId="39" xfId="0" applyFont="1" applyFill="1" applyBorder="1"/>
    <xf numFmtId="2" fontId="0" fillId="0" borderId="2" xfId="0" applyNumberFormat="1" applyBorder="1"/>
    <xf numFmtId="0" fontId="3" fillId="2" borderId="33" xfId="0" applyFont="1" applyFill="1" applyBorder="1"/>
    <xf numFmtId="2" fontId="0" fillId="0" borderId="41" xfId="0" applyNumberFormat="1" applyBorder="1"/>
    <xf numFmtId="0" fontId="3" fillId="2" borderId="15" xfId="0" applyFont="1" applyFill="1" applyBorder="1"/>
    <xf numFmtId="0" fontId="5" fillId="2" borderId="42" xfId="0" applyFont="1" applyFill="1" applyBorder="1"/>
    <xf numFmtId="0" fontId="5" fillId="2" borderId="20" xfId="0" applyFont="1" applyFill="1" applyBorder="1"/>
    <xf numFmtId="0" fontId="5" fillId="2" borderId="43" xfId="0" applyFont="1" applyFill="1" applyBorder="1"/>
    <xf numFmtId="0" fontId="5" fillId="2" borderId="21" xfId="0" applyFont="1" applyFill="1" applyBorder="1"/>
    <xf numFmtId="0" fontId="5" fillId="2" borderId="0" xfId="0" applyFont="1" applyFill="1"/>
    <xf numFmtId="0" fontId="5" fillId="2" borderId="44" xfId="0" applyFont="1" applyFill="1" applyBorder="1"/>
    <xf numFmtId="0" fontId="5" fillId="2" borderId="14" xfId="0" applyFont="1" applyFill="1" applyBorder="1"/>
    <xf numFmtId="164" fontId="0" fillId="0" borderId="15" xfId="0" applyNumberFormat="1" applyBorder="1"/>
    <xf numFmtId="164" fontId="0" fillId="5" borderId="15" xfId="0" applyNumberFormat="1" applyFill="1" applyBorder="1"/>
    <xf numFmtId="0" fontId="0" fillId="2" borderId="44" xfId="0" applyFill="1" applyBorder="1"/>
    <xf numFmtId="166" fontId="0" fillId="5" borderId="15" xfId="0" applyNumberFormat="1" applyFill="1" applyBorder="1"/>
    <xf numFmtId="0" fontId="0" fillId="2" borderId="33" xfId="0" applyFill="1" applyBorder="1"/>
    <xf numFmtId="0" fontId="0" fillId="2" borderId="15" xfId="0" applyFill="1" applyBorder="1"/>
    <xf numFmtId="0" fontId="0" fillId="2" borderId="16" xfId="0" applyFill="1" applyBorder="1"/>
    <xf numFmtId="0" fontId="1" fillId="3" borderId="0" xfId="0" applyFont="1" applyFill="1"/>
    <xf numFmtId="2" fontId="0" fillId="3" borderId="4" xfId="0" applyNumberFormat="1" applyFill="1" applyBorder="1"/>
    <xf numFmtId="2" fontId="0" fillId="3" borderId="5" xfId="0" applyNumberFormat="1" applyFill="1" applyBorder="1"/>
    <xf numFmtId="2" fontId="0" fillId="3" borderId="13" xfId="0" applyNumberFormat="1" applyFill="1" applyBorder="1"/>
    <xf numFmtId="2" fontId="0" fillId="3" borderId="7" xfId="0" applyNumberFormat="1" applyFill="1" applyBorder="1"/>
    <xf numFmtId="2" fontId="0" fillId="3" borderId="14" xfId="0" applyNumberFormat="1" applyFill="1" applyBorder="1"/>
    <xf numFmtId="2" fontId="0" fillId="3" borderId="2" xfId="0" applyNumberFormat="1" applyFill="1" applyBorder="1"/>
    <xf numFmtId="2" fontId="0" fillId="3" borderId="3" xfId="0" applyNumberFormat="1" applyFill="1" applyBorder="1"/>
    <xf numFmtId="2" fontId="0" fillId="3" borderId="35" xfId="0" applyNumberFormat="1" applyFill="1" applyBorder="1"/>
    <xf numFmtId="2" fontId="0" fillId="3" borderId="41" xfId="0" applyNumberFormat="1" applyFill="1" applyBorder="1"/>
    <xf numFmtId="2" fontId="0" fillId="3" borderId="15" xfId="0" applyNumberFormat="1" applyFill="1" applyBorder="1"/>
    <xf numFmtId="166" fontId="0" fillId="3" borderId="5" xfId="0" applyNumberFormat="1" applyFill="1" applyBorder="1"/>
    <xf numFmtId="166" fontId="0" fillId="3" borderId="13" xfId="0" applyNumberFormat="1" applyFill="1" applyBorder="1"/>
    <xf numFmtId="166" fontId="0" fillId="3" borderId="0" xfId="0" applyNumberFormat="1" applyFill="1"/>
    <xf numFmtId="166" fontId="0" fillId="3" borderId="14" xfId="0" applyNumberFormat="1" applyFill="1" applyBorder="1"/>
    <xf numFmtId="166" fontId="0" fillId="5" borderId="14" xfId="0" applyNumberFormat="1" applyFill="1" applyBorder="1"/>
    <xf numFmtId="166" fontId="0" fillId="3" borderId="3" xfId="0" applyNumberFormat="1" applyFill="1" applyBorder="1"/>
    <xf numFmtId="166" fontId="0" fillId="3" borderId="35" xfId="0" applyNumberFormat="1" applyFill="1" applyBorder="1"/>
    <xf numFmtId="166" fontId="0" fillId="3" borderId="15" xfId="0" applyNumberFormat="1" applyFill="1" applyBorder="1"/>
    <xf numFmtId="166" fontId="0" fillId="5" borderId="16" xfId="0" applyNumberFormat="1" applyFill="1" applyBorder="1"/>
    <xf numFmtId="0" fontId="20" fillId="2" borderId="26" xfId="0" applyFont="1" applyFill="1" applyBorder="1"/>
    <xf numFmtId="0" fontId="1" fillId="2" borderId="17" xfId="0" applyFont="1" applyFill="1" applyBorder="1"/>
    <xf numFmtId="2" fontId="9" fillId="2" borderId="0" xfId="0" applyNumberFormat="1" applyFont="1" applyFill="1"/>
    <xf numFmtId="2" fontId="9" fillId="2" borderId="8" xfId="0" applyNumberFormat="1" applyFont="1" applyFill="1" applyBorder="1"/>
    <xf numFmtId="2" fontId="21" fillId="2" borderId="0" xfId="0" applyNumberFormat="1" applyFont="1" applyFill="1" applyAlignment="1">
      <alignment horizontal="center"/>
    </xf>
    <xf numFmtId="2" fontId="21" fillId="2" borderId="8" xfId="0" applyNumberFormat="1" applyFont="1" applyFill="1" applyBorder="1" applyAlignment="1">
      <alignment horizontal="center"/>
    </xf>
    <xf numFmtId="2" fontId="9" fillId="5" borderId="0" xfId="0" applyNumberFormat="1" applyFont="1" applyFill="1"/>
    <xf numFmtId="2" fontId="9" fillId="5" borderId="8" xfId="0" applyNumberFormat="1" applyFont="1" applyFill="1" applyBorder="1"/>
    <xf numFmtId="0" fontId="9" fillId="0" borderId="7" xfId="0" applyFont="1" applyBorder="1"/>
    <xf numFmtId="0" fontId="22" fillId="0" borderId="0" xfId="0" applyFont="1"/>
    <xf numFmtId="2" fontId="9" fillId="0" borderId="8" xfId="0" applyNumberFormat="1" applyFont="1" applyBorder="1"/>
    <xf numFmtId="0" fontId="9" fillId="2" borderId="7" xfId="0" applyFont="1" applyFill="1" applyBorder="1"/>
    <xf numFmtId="166" fontId="0" fillId="2" borderId="0" xfId="0" applyNumberFormat="1" applyFill="1" applyAlignment="1">
      <alignment horizontal="center"/>
    </xf>
    <xf numFmtId="0" fontId="23" fillId="0" borderId="0" xfId="0" applyFont="1" applyAlignment="1">
      <alignment vertical="center"/>
    </xf>
    <xf numFmtId="0" fontId="29" fillId="0" borderId="0" xfId="0" applyFont="1"/>
    <xf numFmtId="0" fontId="30" fillId="0" borderId="0" xfId="0" applyFont="1"/>
    <xf numFmtId="0" fontId="26" fillId="0" borderId="0" xfId="0" applyFont="1"/>
    <xf numFmtId="2" fontId="2" fillId="2" borderId="0" xfId="0" applyNumberFormat="1" applyFont="1" applyFill="1" applyAlignment="1">
      <alignment horizontal="center"/>
    </xf>
    <xf numFmtId="2" fontId="2" fillId="2" borderId="8" xfId="0" applyNumberFormat="1" applyFont="1" applyFill="1" applyBorder="1" applyAlignment="1">
      <alignment horizontal="center"/>
    </xf>
    <xf numFmtId="0" fontId="0" fillId="0" borderId="4" xfId="0" applyBorder="1"/>
    <xf numFmtId="0" fontId="0" fillId="5" borderId="1" xfId="0" applyFill="1" applyBorder="1"/>
    <xf numFmtId="2" fontId="9" fillId="0" borderId="3" xfId="0" applyNumberFormat="1" applyFont="1" applyBorder="1"/>
    <xf numFmtId="0" fontId="0" fillId="5" borderId="14" xfId="0" applyFill="1" applyBorder="1"/>
    <xf numFmtId="0" fontId="13" fillId="2" borderId="17" xfId="0" applyFont="1" applyFill="1" applyBorder="1"/>
    <xf numFmtId="0" fontId="0" fillId="2" borderId="17" xfId="0" applyFill="1" applyBorder="1"/>
    <xf numFmtId="2" fontId="0" fillId="0" borderId="0" xfId="0" applyNumberFormat="1" applyAlignment="1">
      <alignment horizontal="right"/>
    </xf>
    <xf numFmtId="2" fontId="6" fillId="0" borderId="0" xfId="0" applyNumberFormat="1" applyFont="1" applyAlignment="1">
      <alignment horizontal="right"/>
    </xf>
    <xf numFmtId="2" fontId="6" fillId="0" borderId="8" xfId="0" applyNumberFormat="1" applyFont="1" applyBorder="1" applyAlignment="1">
      <alignment horizontal="right"/>
    </xf>
    <xf numFmtId="2" fontId="9" fillId="0" borderId="0" xfId="0" applyNumberFormat="1" applyFont="1" applyAlignment="1">
      <alignment horizontal="right"/>
    </xf>
    <xf numFmtId="2" fontId="9" fillId="5" borderId="0" xfId="0" applyNumberFormat="1" applyFont="1" applyFill="1" applyAlignment="1">
      <alignment horizontal="right"/>
    </xf>
    <xf numFmtId="2" fontId="9" fillId="5" borderId="8" xfId="0" applyNumberFormat="1" applyFont="1" applyFill="1" applyBorder="1" applyAlignment="1">
      <alignment horizontal="right"/>
    </xf>
    <xf numFmtId="2" fontId="0" fillId="0" borderId="8" xfId="0" applyNumberFormat="1" applyBorder="1" applyAlignment="1">
      <alignment horizontal="right"/>
    </xf>
    <xf numFmtId="2" fontId="0" fillId="2" borderId="0" xfId="0" applyNumberFormat="1" applyFill="1" applyAlignment="1">
      <alignment horizontal="right"/>
    </xf>
    <xf numFmtId="2" fontId="2" fillId="2" borderId="0" xfId="0" applyNumberFormat="1" applyFont="1" applyFill="1" applyAlignment="1">
      <alignment horizontal="right"/>
    </xf>
    <xf numFmtId="2" fontId="2" fillId="2" borderId="8" xfId="0" applyNumberFormat="1" applyFont="1" applyFill="1" applyBorder="1" applyAlignment="1">
      <alignment horizontal="right"/>
    </xf>
    <xf numFmtId="2" fontId="2" fillId="0" borderId="0" xfId="0" applyNumberFormat="1" applyFont="1" applyAlignment="1">
      <alignment horizontal="right"/>
    </xf>
    <xf numFmtId="2" fontId="2" fillId="0" borderId="8" xfId="0" applyNumberFormat="1" applyFont="1" applyBorder="1" applyAlignment="1">
      <alignment horizontal="right"/>
    </xf>
    <xf numFmtId="0" fontId="2" fillId="2" borderId="0" xfId="0" applyFont="1" applyFill="1" applyAlignment="1">
      <alignment horizontal="right"/>
    </xf>
    <xf numFmtId="0" fontId="2" fillId="2" borderId="8" xfId="0" applyFont="1" applyFill="1" applyBorder="1" applyAlignment="1">
      <alignment horizontal="right"/>
    </xf>
    <xf numFmtId="2" fontId="6" fillId="5" borderId="0" xfId="0" applyNumberFormat="1" applyFont="1" applyFill="1" applyAlignment="1">
      <alignment horizontal="right"/>
    </xf>
    <xf numFmtId="2" fontId="6" fillId="5" borderId="8" xfId="0" applyNumberFormat="1" applyFont="1" applyFill="1" applyBorder="1" applyAlignment="1">
      <alignment horizontal="right"/>
    </xf>
    <xf numFmtId="2" fontId="7" fillId="0" borderId="0" xfId="0" applyNumberFormat="1" applyFont="1" applyAlignment="1">
      <alignment horizontal="right"/>
    </xf>
    <xf numFmtId="2" fontId="32" fillId="0" borderId="0" xfId="0" applyNumberFormat="1" applyFont="1" applyAlignment="1">
      <alignment horizontal="right"/>
    </xf>
    <xf numFmtId="2" fontId="32" fillId="5" borderId="0" xfId="0" applyNumberFormat="1" applyFont="1" applyFill="1" applyAlignment="1">
      <alignment horizontal="right"/>
    </xf>
    <xf numFmtId="2" fontId="32" fillId="0" borderId="8" xfId="0" applyNumberFormat="1" applyFont="1" applyBorder="1" applyAlignment="1">
      <alignment horizontal="right"/>
    </xf>
    <xf numFmtId="0" fontId="1" fillId="3" borderId="2" xfId="0" applyFont="1" applyFill="1" applyBorder="1"/>
    <xf numFmtId="164" fontId="6" fillId="0" borderId="0" xfId="0" applyNumberFormat="1" applyFont="1"/>
    <xf numFmtId="164" fontId="6" fillId="0" borderId="8" xfId="0" applyNumberFormat="1" applyFont="1" applyBorder="1"/>
    <xf numFmtId="0" fontId="0" fillId="0" borderId="3" xfId="0" applyBorder="1"/>
    <xf numFmtId="164" fontId="0" fillId="0" borderId="0" xfId="0" quotePrefix="1" applyNumberFormat="1"/>
    <xf numFmtId="164" fontId="0" fillId="5" borderId="3" xfId="0" applyNumberFormat="1" applyFill="1" applyBorder="1"/>
    <xf numFmtId="164" fontId="0" fillId="5" borderId="1" xfId="0" applyNumberFormat="1" applyFill="1" applyBorder="1"/>
    <xf numFmtId="164" fontId="0" fillId="0" borderId="1" xfId="0" applyNumberFormat="1" applyBorder="1"/>
    <xf numFmtId="164" fontId="8" fillId="0" borderId="0" xfId="0" quotePrefix="1" applyNumberFormat="1" applyFont="1"/>
    <xf numFmtId="164" fontId="0" fillId="0" borderId="8" xfId="0" quotePrefix="1" applyNumberFormat="1" applyBorder="1"/>
    <xf numFmtId="0" fontId="0" fillId="5" borderId="3" xfId="0" applyFill="1" applyBorder="1"/>
    <xf numFmtId="2" fontId="0" fillId="0" borderId="3" xfId="0" quotePrefix="1" applyNumberFormat="1" applyBorder="1"/>
    <xf numFmtId="0" fontId="0" fillId="0" borderId="0" xfId="0" applyAlignment="1">
      <alignment horizontal="left" wrapText="1"/>
    </xf>
    <xf numFmtId="164" fontId="0" fillId="0" borderId="4" xfId="0" applyNumberFormat="1" applyBorder="1"/>
    <xf numFmtId="0" fontId="9" fillId="0" borderId="0" xfId="0" applyFont="1" applyAlignment="1">
      <alignment horizontal="left" readingOrder="1"/>
    </xf>
    <xf numFmtId="0" fontId="9" fillId="0" borderId="0" xfId="0" applyFont="1" applyAlignment="1">
      <alignment horizontal="left"/>
    </xf>
    <xf numFmtId="164" fontId="0" fillId="5" borderId="0" xfId="0" quotePrefix="1" applyNumberFormat="1" applyFill="1"/>
    <xf numFmtId="164" fontId="6" fillId="5" borderId="8" xfId="0" applyNumberFormat="1" applyFont="1" applyFill="1" applyBorder="1"/>
    <xf numFmtId="164" fontId="7" fillId="0" borderId="0" xfId="0" quotePrefix="1" applyNumberFormat="1" applyFont="1"/>
    <xf numFmtId="0" fontId="5" fillId="0" borderId="0" xfId="0" applyFont="1"/>
    <xf numFmtId="0" fontId="9" fillId="0" borderId="0" xfId="0" applyFont="1" applyAlignment="1">
      <alignment horizontal="left" vertical="center" readingOrder="1"/>
    </xf>
    <xf numFmtId="0" fontId="9" fillId="0" borderId="0" xfId="0" applyFont="1"/>
    <xf numFmtId="0" fontId="5" fillId="0" borderId="3" xfId="0" applyFont="1" applyBorder="1"/>
    <xf numFmtId="2" fontId="0" fillId="5" borderId="0" xfId="0" quotePrefix="1" applyNumberFormat="1" applyFill="1"/>
    <xf numFmtId="2" fontId="6" fillId="5" borderId="8" xfId="0" applyNumberFormat="1" applyFont="1" applyFill="1" applyBorder="1"/>
    <xf numFmtId="2" fontId="8" fillId="5" borderId="3" xfId="0" quotePrefix="1" applyNumberFormat="1" applyFont="1" applyFill="1" applyBorder="1"/>
    <xf numFmtId="2" fontId="0" fillId="5" borderId="3" xfId="0" quotePrefix="1" applyNumberFormat="1" applyFill="1" applyBorder="1"/>
    <xf numFmtId="2" fontId="6" fillId="5" borderId="1" xfId="0" applyNumberFormat="1" applyFont="1" applyFill="1" applyBorder="1"/>
    <xf numFmtId="0" fontId="34" fillId="0" borderId="0" xfId="0" applyFont="1"/>
    <xf numFmtId="0" fontId="6" fillId="0" borderId="0" xfId="0" applyFont="1"/>
    <xf numFmtId="0" fontId="3" fillId="2" borderId="0" xfId="0" applyFont="1" applyFill="1" applyAlignment="1">
      <alignment horizontal="left"/>
    </xf>
    <xf numFmtId="164" fontId="0" fillId="0" borderId="7" xfId="0" applyNumberFormat="1" applyBorder="1"/>
    <xf numFmtId="164" fontId="0" fillId="5" borderId="14" xfId="0" applyNumberFormat="1" applyFill="1" applyBorder="1"/>
    <xf numFmtId="164" fontId="0" fillId="0" borderId="2" xfId="0" applyNumberFormat="1" applyBorder="1"/>
    <xf numFmtId="164" fontId="0" fillId="0" borderId="41" xfId="0" applyNumberFormat="1" applyBorder="1"/>
    <xf numFmtId="164" fontId="0" fillId="5" borderId="16" xfId="0" applyNumberFormat="1" applyFill="1" applyBorder="1"/>
    <xf numFmtId="166" fontId="0" fillId="3" borderId="4" xfId="0" applyNumberFormat="1" applyFill="1" applyBorder="1"/>
    <xf numFmtId="166" fontId="0" fillId="3" borderId="7" xfId="0" applyNumberFormat="1" applyFill="1" applyBorder="1"/>
    <xf numFmtId="166" fontId="0" fillId="3" borderId="2" xfId="0" applyNumberFormat="1" applyFill="1" applyBorder="1"/>
    <xf numFmtId="166" fontId="0" fillId="3" borderId="41" xfId="0" applyNumberFormat="1" applyFill="1" applyBorder="1"/>
    <xf numFmtId="2" fontId="7" fillId="5" borderId="8" xfId="0" applyNumberFormat="1" applyFont="1" applyFill="1" applyBorder="1"/>
    <xf numFmtId="164" fontId="7" fillId="5" borderId="8" xfId="0" applyNumberFormat="1" applyFont="1" applyFill="1" applyBorder="1"/>
    <xf numFmtId="0" fontId="33" fillId="0" borderId="0" xfId="0" applyFont="1" applyAlignment="1">
      <alignment horizontal="center" vertical="center" readingOrder="1"/>
    </xf>
    <xf numFmtId="2" fontId="0" fillId="5" borderId="0" xfId="0" applyNumberFormat="1" applyFill="1" applyAlignment="1">
      <alignment horizontal="right"/>
    </xf>
    <xf numFmtId="2" fontId="0" fillId="5" borderId="8" xfId="0" applyNumberFormat="1" applyFill="1" applyBorder="1" applyAlignment="1">
      <alignment horizontal="right"/>
    </xf>
    <xf numFmtId="0" fontId="22" fillId="0" borderId="3" xfId="0" applyFont="1" applyBorder="1"/>
    <xf numFmtId="164" fontId="35" fillId="5" borderId="0" xfId="0" quotePrefix="1" applyNumberFormat="1" applyFont="1" applyFill="1"/>
    <xf numFmtId="164" fontId="14" fillId="5" borderId="8" xfId="0" applyNumberFormat="1" applyFont="1" applyFill="1" applyBorder="1"/>
    <xf numFmtId="164" fontId="35" fillId="5" borderId="3" xfId="0" quotePrefix="1" applyNumberFormat="1" applyFont="1" applyFill="1" applyBorder="1"/>
    <xf numFmtId="164" fontId="14" fillId="5" borderId="1" xfId="0" applyNumberFormat="1" applyFont="1" applyFill="1" applyBorder="1"/>
    <xf numFmtId="2" fontId="7" fillId="0" borderId="8" xfId="0" applyNumberFormat="1" applyFont="1" applyBorder="1" applyAlignment="1">
      <alignment horizontal="right"/>
    </xf>
    <xf numFmtId="164" fontId="0" fillId="0" borderId="0" xfId="0" applyNumberFormat="1" applyAlignment="1">
      <alignment horizontal="right"/>
    </xf>
    <xf numFmtId="11" fontId="0" fillId="0" borderId="0" xfId="0" applyNumberFormat="1"/>
    <xf numFmtId="167" fontId="0" fillId="0" borderId="0" xfId="0" applyNumberFormat="1"/>
    <xf numFmtId="164" fontId="9" fillId="0" borderId="3" xfId="0" quotePrefix="1" applyNumberFormat="1" applyFont="1" applyBorder="1"/>
    <xf numFmtId="164" fontId="9" fillId="5" borderId="3" xfId="0" quotePrefix="1" applyNumberFormat="1" applyFont="1" applyFill="1" applyBorder="1"/>
    <xf numFmtId="164" fontId="0" fillId="0" borderId="8" xfId="0" applyNumberFormat="1" applyBorder="1" applyAlignment="1">
      <alignment horizontal="right"/>
    </xf>
    <xf numFmtId="2" fontId="8" fillId="0" borderId="3" xfId="0" applyNumberFormat="1" applyFont="1" applyBorder="1"/>
    <xf numFmtId="2" fontId="36" fillId="0" borderId="0" xfId="0" applyNumberFormat="1" applyFont="1" applyAlignment="1">
      <alignment horizontal="right"/>
    </xf>
    <xf numFmtId="165" fontId="0" fillId="0" borderId="3" xfId="0" quotePrefix="1" applyNumberFormat="1" applyBorder="1"/>
    <xf numFmtId="2" fontId="0" fillId="0" borderId="3" xfId="0" applyNumberFormat="1" applyBorder="1" applyAlignment="1">
      <alignment horizontal="right"/>
    </xf>
    <xf numFmtId="2" fontId="0" fillId="0" borderId="1" xfId="0" applyNumberFormat="1" applyBorder="1" applyAlignment="1">
      <alignment horizontal="right"/>
    </xf>
    <xf numFmtId="2" fontId="36" fillId="0" borderId="8" xfId="0" applyNumberFormat="1" applyFont="1" applyBorder="1" applyAlignment="1">
      <alignment horizontal="right"/>
    </xf>
    <xf numFmtId="0" fontId="2" fillId="2" borderId="45" xfId="0" applyFont="1" applyFill="1" applyBorder="1" applyAlignment="1">
      <alignment horizontal="center"/>
    </xf>
    <xf numFmtId="2" fontId="0" fillId="3" borderId="40" xfId="0" applyNumberFormat="1" applyFill="1" applyBorder="1"/>
    <xf numFmtId="2" fontId="0" fillId="3" borderId="22" xfId="0" applyNumberFormat="1" applyFill="1" applyBorder="1"/>
    <xf numFmtId="2" fontId="0" fillId="3" borderId="39" xfId="0" applyNumberFormat="1" applyFill="1" applyBorder="1"/>
    <xf numFmtId="2" fontId="0" fillId="3" borderId="33" xfId="0" applyNumberFormat="1" applyFill="1" applyBorder="1"/>
    <xf numFmtId="0" fontId="1" fillId="0" borderId="5" xfId="0" applyFont="1" applyBorder="1"/>
    <xf numFmtId="0" fontId="2" fillId="0" borderId="7" xfId="0" applyFont="1" applyBorder="1" applyAlignment="1">
      <alignment horizontal="center"/>
    </xf>
    <xf numFmtId="0" fontId="2" fillId="0" borderId="8" xfId="0" applyFont="1" applyBorder="1" applyAlignment="1">
      <alignment horizontal="center"/>
    </xf>
    <xf numFmtId="0" fontId="0" fillId="2" borderId="10" xfId="0" applyFill="1" applyBorder="1"/>
    <xf numFmtId="0" fontId="0" fillId="2" borderId="1" xfId="0" applyFill="1" applyBorder="1"/>
    <xf numFmtId="164" fontId="6" fillId="5" borderId="0" xfId="0" applyNumberFormat="1" applyFont="1" applyFill="1"/>
    <xf numFmtId="164" fontId="14" fillId="5" borderId="0" xfId="0" applyNumberFormat="1" applyFont="1" applyFill="1"/>
    <xf numFmtId="164" fontId="14" fillId="5" borderId="3" xfId="0" applyNumberFormat="1" applyFont="1" applyFill="1" applyBorder="1"/>
    <xf numFmtId="0" fontId="1" fillId="2" borderId="12" xfId="0" applyFont="1" applyFill="1" applyBorder="1" applyAlignment="1">
      <alignment horizontal="center"/>
    </xf>
    <xf numFmtId="2" fontId="6" fillId="5" borderId="0" xfId="0" applyNumberFormat="1" applyFont="1" applyFill="1"/>
    <xf numFmtId="2" fontId="6" fillId="5" borderId="3" xfId="0" applyNumberFormat="1" applyFont="1" applyFill="1" applyBorder="1"/>
    <xf numFmtId="0" fontId="26" fillId="2" borderId="0" xfId="0" applyFont="1" applyFill="1" applyAlignment="1">
      <alignment horizontal="left" wrapText="1"/>
    </xf>
    <xf numFmtId="0" fontId="29" fillId="2" borderId="0" xfId="0" applyFont="1" applyFill="1" applyAlignment="1">
      <alignment horizontal="left" vertical="top" wrapText="1"/>
    </xf>
    <xf numFmtId="0" fontId="27" fillId="2" borderId="0" xfId="0" applyFont="1" applyFill="1" applyAlignment="1">
      <alignment horizontal="left" vertical="top"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4" borderId="4" xfId="0" applyFont="1" applyFill="1" applyBorder="1" applyAlignment="1">
      <alignment horizontal="left"/>
    </xf>
    <xf numFmtId="0" fontId="4" fillId="4" borderId="6" xfId="0" applyFont="1" applyFill="1" applyBorder="1" applyAlignment="1">
      <alignment horizontal="left"/>
    </xf>
    <xf numFmtId="0" fontId="10" fillId="0" borderId="3" xfId="0" applyFont="1" applyBorder="1" applyAlignment="1">
      <alignment horizontal="center" vertical="center"/>
    </xf>
    <xf numFmtId="2" fontId="2" fillId="2" borderId="0" xfId="0" applyNumberFormat="1" applyFont="1" applyFill="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4" fillId="4" borderId="5" xfId="0" applyFont="1" applyFill="1" applyBorder="1" applyAlignment="1">
      <alignment horizontal="left"/>
    </xf>
    <xf numFmtId="0" fontId="0" fillId="0" borderId="0" xfId="0" applyAlignment="1">
      <alignment horizontal="left" wrapText="1"/>
    </xf>
    <xf numFmtId="2" fontId="0" fillId="0" borderId="0" xfId="0" applyNumberFormat="1" applyAlignment="1">
      <alignment horizontal="left" wrapText="1"/>
    </xf>
    <xf numFmtId="0" fontId="1" fillId="2" borderId="19" xfId="0" applyFont="1" applyFill="1" applyBorder="1" applyAlignment="1">
      <alignment horizontal="left" wrapText="1"/>
    </xf>
    <xf numFmtId="0" fontId="1" fillId="2" borderId="34" xfId="0" applyFont="1" applyFill="1" applyBorder="1" applyAlignment="1">
      <alignment horizontal="left" wrapText="1"/>
    </xf>
    <xf numFmtId="0" fontId="1" fillId="2" borderId="39" xfId="0" applyFont="1" applyFill="1" applyBorder="1" applyAlignment="1">
      <alignment horizontal="left" wrapText="1"/>
    </xf>
    <xf numFmtId="0" fontId="1" fillId="2" borderId="1" xfId="0" applyFont="1" applyFill="1" applyBorder="1" applyAlignment="1">
      <alignment horizontal="left" wrapText="1"/>
    </xf>
    <xf numFmtId="0" fontId="1" fillId="2" borderId="0" xfId="0" applyFont="1" applyFill="1" applyAlignment="1">
      <alignment horizontal="center" vertical="center" textRotation="90"/>
    </xf>
    <xf numFmtId="0" fontId="1" fillId="2" borderId="22" xfId="0" applyFont="1" applyFill="1" applyBorder="1" applyAlignment="1">
      <alignment horizontal="center" textRotation="90"/>
    </xf>
    <xf numFmtId="0" fontId="1" fillId="2" borderId="20" xfId="0" applyFont="1" applyFill="1" applyBorder="1" applyAlignment="1">
      <alignment horizontal="left" wrapText="1"/>
    </xf>
    <xf numFmtId="0" fontId="1" fillId="2" borderId="3" xfId="0" applyFont="1" applyFill="1" applyBorder="1" applyAlignment="1">
      <alignment horizontal="left" wrapText="1"/>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34"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30" xfId="0" applyFont="1" applyFill="1" applyBorder="1" applyAlignment="1">
      <alignment horizontal="center"/>
    </xf>
    <xf numFmtId="0" fontId="0" fillId="2" borderId="19" xfId="0" applyFill="1" applyBorder="1" applyAlignment="1">
      <alignment horizontal="left"/>
    </xf>
    <xf numFmtId="0" fontId="0" fillId="2" borderId="20" xfId="0" applyFill="1" applyBorder="1" applyAlignment="1">
      <alignment horizontal="left"/>
    </xf>
    <xf numFmtId="0" fontId="0" fillId="2" borderId="21" xfId="0" applyFill="1" applyBorder="1" applyAlignment="1">
      <alignment horizontal="left"/>
    </xf>
    <xf numFmtId="0" fontId="0" fillId="2" borderId="33"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1" fillId="2" borderId="26" xfId="0" applyFont="1" applyFill="1" applyBorder="1" applyAlignment="1">
      <alignment horizontal="left"/>
    </xf>
    <xf numFmtId="0" fontId="1" fillId="2" borderId="31" xfId="0" applyFont="1" applyFill="1" applyBorder="1" applyAlignment="1">
      <alignment horizontal="left"/>
    </xf>
    <xf numFmtId="0" fontId="1" fillId="0" borderId="0" xfId="0" applyFont="1" applyAlignment="1">
      <alignment horizontal="center"/>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33" xfId="0" applyFont="1" applyFill="1" applyBorder="1" applyAlignment="1">
      <alignment horizontal="left"/>
    </xf>
    <xf numFmtId="0" fontId="3" fillId="2" borderId="15" xfId="0" applyFont="1" applyFill="1" applyBorder="1" applyAlignment="1">
      <alignment horizontal="left"/>
    </xf>
    <xf numFmtId="0" fontId="0" fillId="0" borderId="33" xfId="0" applyBorder="1"/>
    <xf numFmtId="0" fontId="0" fillId="0" borderId="15" xfId="0" applyBorder="1"/>
    <xf numFmtId="0" fontId="0" fillId="0" borderId="16" xfId="0" applyBorder="1"/>
    <xf numFmtId="0" fontId="0" fillId="0" borderId="22" xfId="0" applyBorder="1"/>
    <xf numFmtId="0" fontId="0" fillId="0" borderId="0" xfId="0"/>
    <xf numFmtId="0" fontId="0" fillId="0" borderId="14" xfId="0" applyBorder="1"/>
    <xf numFmtId="0" fontId="1" fillId="2" borderId="23" xfId="0" applyFont="1" applyFill="1" applyBorder="1" applyAlignment="1">
      <alignment horizont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2" fillId="2" borderId="29" xfId="0" applyFont="1" applyFill="1" applyBorder="1" applyAlignment="1">
      <alignment horizont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2" fillId="2" borderId="38" xfId="0" applyFont="1" applyFill="1" applyBorder="1" applyAlignment="1">
      <alignment horizontal="center"/>
    </xf>
    <xf numFmtId="0" fontId="2" fillId="2" borderId="21" xfId="0" applyFon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center" wrapText="1"/>
    </xf>
    <xf numFmtId="0" fontId="2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zoomScale="90" zoomScaleNormal="90" workbookViewId="0">
      <selection activeCell="A10" sqref="A10"/>
    </sheetView>
  </sheetViews>
  <sheetFormatPr defaultRowHeight="14.4" x14ac:dyDescent="0.3"/>
  <cols>
    <col min="1" max="1" width="15.77734375" customWidth="1"/>
    <col min="2" max="2" width="18.21875" customWidth="1"/>
    <col min="3" max="4" width="17.21875" customWidth="1"/>
    <col min="5" max="5" width="16.21875" customWidth="1"/>
    <col min="6" max="6" width="16.77734375" customWidth="1"/>
  </cols>
  <sheetData>
    <row r="1" spans="1:6" x14ac:dyDescent="0.3">
      <c r="A1" s="307"/>
      <c r="B1" s="307"/>
      <c r="C1" s="307"/>
      <c r="D1" s="307"/>
      <c r="E1" s="307"/>
      <c r="F1" s="307"/>
    </row>
    <row r="2" spans="1:6" x14ac:dyDescent="0.3">
      <c r="A2" s="307" t="s">
        <v>80</v>
      </c>
      <c r="B2" s="307"/>
      <c r="C2" s="307"/>
      <c r="D2" s="307"/>
      <c r="E2" s="307"/>
      <c r="F2" s="307"/>
    </row>
    <row r="3" spans="1:6" ht="33.75" customHeight="1" x14ac:dyDescent="0.3">
      <c r="A3" s="309" t="s">
        <v>115</v>
      </c>
      <c r="B3" s="309"/>
      <c r="C3" s="309"/>
      <c r="D3" s="309"/>
      <c r="E3" s="309"/>
      <c r="F3" s="309"/>
    </row>
    <row r="4" spans="1:6" ht="48.75" customHeight="1" x14ac:dyDescent="0.3">
      <c r="A4" s="309" t="s">
        <v>156</v>
      </c>
      <c r="B4" s="309"/>
      <c r="C4" s="309"/>
      <c r="D4" s="309"/>
      <c r="E4" s="309"/>
      <c r="F4" s="309"/>
    </row>
    <row r="5" spans="1:6" ht="67.5" customHeight="1" x14ac:dyDescent="0.3">
      <c r="A5" s="309" t="s">
        <v>196</v>
      </c>
      <c r="B5" s="309"/>
      <c r="C5" s="309"/>
      <c r="D5" s="309"/>
      <c r="E5" s="309"/>
      <c r="F5" s="309"/>
    </row>
    <row r="6" spans="1:6" ht="51.75" customHeight="1" x14ac:dyDescent="0.3">
      <c r="A6" s="309" t="s">
        <v>197</v>
      </c>
      <c r="B6" s="309"/>
      <c r="C6" s="309"/>
      <c r="D6" s="309"/>
      <c r="E6" s="309"/>
      <c r="F6" s="309"/>
    </row>
    <row r="7" spans="1:6" ht="23.25" customHeight="1" x14ac:dyDescent="0.3">
      <c r="A7" s="308" t="s">
        <v>116</v>
      </c>
      <c r="B7" s="308"/>
      <c r="C7" s="308"/>
      <c r="D7" s="308"/>
      <c r="E7" s="308"/>
      <c r="F7" s="308"/>
    </row>
    <row r="8" spans="1:6" ht="24" customHeight="1" x14ac:dyDescent="0.3">
      <c r="A8" s="308" t="s">
        <v>117</v>
      </c>
      <c r="B8" s="308"/>
      <c r="C8" s="308"/>
      <c r="D8" s="308"/>
      <c r="E8" s="308"/>
      <c r="F8" s="308"/>
    </row>
    <row r="9" spans="1:6" ht="38.25" customHeight="1" x14ac:dyDescent="0.3">
      <c r="A9" s="308" t="s">
        <v>309</v>
      </c>
      <c r="B9" s="308"/>
      <c r="C9" s="308"/>
      <c r="D9" s="308"/>
      <c r="E9" s="308"/>
      <c r="F9" s="308"/>
    </row>
    <row r="10" spans="1:6" x14ac:dyDescent="0.3">
      <c r="A10" s="197"/>
      <c r="B10" s="197"/>
      <c r="C10" s="197"/>
      <c r="D10" s="197"/>
      <c r="E10" s="197"/>
      <c r="F10" s="197"/>
    </row>
    <row r="11" spans="1:6" x14ac:dyDescent="0.3">
      <c r="A11" s="197"/>
      <c r="B11" s="197"/>
      <c r="C11" s="197"/>
      <c r="D11" s="197"/>
      <c r="E11" s="197"/>
      <c r="F11" s="197"/>
    </row>
    <row r="12" spans="1:6" x14ac:dyDescent="0.3">
      <c r="A12" s="199" t="s">
        <v>93</v>
      </c>
      <c r="B12" s="197"/>
      <c r="C12" s="197"/>
      <c r="D12" s="197"/>
      <c r="E12" s="197"/>
      <c r="F12" s="197"/>
    </row>
    <row r="13" spans="1:6" x14ac:dyDescent="0.3">
      <c r="A13" s="198" t="s">
        <v>198</v>
      </c>
      <c r="B13" s="197"/>
      <c r="C13" s="197"/>
      <c r="D13" s="197"/>
      <c r="E13" s="197"/>
      <c r="F13" s="197"/>
    </row>
    <row r="14" spans="1:6" x14ac:dyDescent="0.3">
      <c r="A14" s="198" t="s">
        <v>199</v>
      </c>
      <c r="B14" s="197"/>
      <c r="C14" s="197"/>
      <c r="D14" s="197"/>
      <c r="E14" s="197"/>
      <c r="F14" s="197"/>
    </row>
    <row r="15" spans="1:6" x14ac:dyDescent="0.3">
      <c r="A15" s="198" t="s">
        <v>200</v>
      </c>
      <c r="B15" s="197"/>
      <c r="C15" s="197"/>
      <c r="D15" s="197"/>
      <c r="E15" s="197"/>
      <c r="F15" s="197"/>
    </row>
    <row r="16" spans="1:6" x14ac:dyDescent="0.3">
      <c r="A16" s="198" t="s">
        <v>201</v>
      </c>
      <c r="B16" s="197"/>
      <c r="C16" s="197"/>
      <c r="D16" s="197"/>
      <c r="E16" s="197"/>
      <c r="F16" s="197"/>
    </row>
    <row r="17" spans="1:6" x14ac:dyDescent="0.3">
      <c r="A17" s="198" t="s">
        <v>202</v>
      </c>
      <c r="B17" s="197"/>
      <c r="C17" s="197"/>
      <c r="D17" s="197"/>
      <c r="E17" s="197"/>
      <c r="F17" s="197"/>
    </row>
    <row r="18" spans="1:6" x14ac:dyDescent="0.3">
      <c r="A18" s="198" t="s">
        <v>276</v>
      </c>
      <c r="B18" s="197"/>
      <c r="C18" s="197"/>
      <c r="D18" s="197"/>
      <c r="E18" s="197"/>
      <c r="F18" s="197"/>
    </row>
    <row r="19" spans="1:6" x14ac:dyDescent="0.3">
      <c r="A19" s="198" t="s">
        <v>203</v>
      </c>
      <c r="B19" s="197"/>
      <c r="C19" s="197"/>
      <c r="D19" s="197"/>
      <c r="E19" s="197"/>
      <c r="F19" s="197"/>
    </row>
    <row r="20" spans="1:6" x14ac:dyDescent="0.3">
      <c r="A20" s="198" t="s">
        <v>204</v>
      </c>
      <c r="B20" s="197"/>
      <c r="C20" s="197"/>
      <c r="D20" s="197"/>
      <c r="E20" s="197"/>
      <c r="F20" s="197"/>
    </row>
    <row r="21" spans="1:6" x14ac:dyDescent="0.3">
      <c r="A21" s="198" t="s">
        <v>189</v>
      </c>
      <c r="B21" s="197"/>
      <c r="C21" s="197"/>
      <c r="D21" s="197"/>
      <c r="E21" s="197"/>
      <c r="F21" s="197"/>
    </row>
    <row r="22" spans="1:6" x14ac:dyDescent="0.3">
      <c r="A22" s="198" t="s">
        <v>192</v>
      </c>
      <c r="B22" s="197"/>
      <c r="C22" s="197"/>
      <c r="D22" s="197"/>
      <c r="E22" s="197"/>
      <c r="F22" s="197"/>
    </row>
    <row r="23" spans="1:6" x14ac:dyDescent="0.3">
      <c r="A23" s="198" t="s">
        <v>292</v>
      </c>
      <c r="B23" s="197"/>
      <c r="C23" s="197"/>
      <c r="D23" s="197"/>
      <c r="E23" s="197"/>
      <c r="F23" s="197"/>
    </row>
    <row r="24" spans="1:6" x14ac:dyDescent="0.3">
      <c r="A24" s="198" t="s">
        <v>299</v>
      </c>
      <c r="B24" s="197"/>
      <c r="C24" s="197"/>
      <c r="D24" s="197"/>
      <c r="E24" s="197"/>
      <c r="F24" s="197"/>
    </row>
    <row r="25" spans="1:6" x14ac:dyDescent="0.3">
      <c r="A25" s="198" t="s">
        <v>205</v>
      </c>
      <c r="B25" s="197"/>
      <c r="C25" s="197"/>
      <c r="D25" s="197"/>
      <c r="E25" s="197"/>
      <c r="F25" s="197"/>
    </row>
    <row r="26" spans="1:6" x14ac:dyDescent="0.3">
      <c r="A26" s="198" t="s">
        <v>206</v>
      </c>
      <c r="B26" s="197"/>
      <c r="C26" s="197"/>
      <c r="D26" s="197"/>
      <c r="E26" s="197"/>
      <c r="F26" s="197"/>
    </row>
    <row r="27" spans="1:6" x14ac:dyDescent="0.3">
      <c r="A27" s="198" t="s">
        <v>207</v>
      </c>
      <c r="B27" s="197"/>
      <c r="C27" s="197"/>
      <c r="D27" s="197"/>
      <c r="E27" s="197"/>
      <c r="F27" s="197"/>
    </row>
    <row r="28" spans="1:6" x14ac:dyDescent="0.3">
      <c r="A28" s="197" t="s">
        <v>293</v>
      </c>
      <c r="B28" s="197"/>
      <c r="C28" s="197"/>
      <c r="D28" s="197"/>
      <c r="E28" s="197"/>
      <c r="F28" s="197"/>
    </row>
    <row r="29" spans="1:6" x14ac:dyDescent="0.3">
      <c r="A29" s="198" t="s">
        <v>208</v>
      </c>
    </row>
    <row r="32" spans="1:6" x14ac:dyDescent="0.3">
      <c r="A32" s="256"/>
    </row>
  </sheetData>
  <mergeCells count="9">
    <mergeCell ref="A1:F1"/>
    <mergeCell ref="A9:F9"/>
    <mergeCell ref="A5:F5"/>
    <mergeCell ref="A6:F6"/>
    <mergeCell ref="A2:F2"/>
    <mergeCell ref="A3:F3"/>
    <mergeCell ref="A4:F4"/>
    <mergeCell ref="A8:F8"/>
    <mergeCell ref="A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3"/>
  <sheetViews>
    <sheetView zoomScale="85" zoomScaleNormal="85" workbookViewId="0">
      <selection activeCell="G162" sqref="G162:L163"/>
    </sheetView>
  </sheetViews>
  <sheetFormatPr defaultRowHeight="14.4" x14ac:dyDescent="0.3"/>
  <cols>
    <col min="1" max="1" width="27.21875" customWidth="1"/>
    <col min="2" max="2" width="45.44140625" customWidth="1"/>
    <col min="13" max="13" width="40" customWidth="1"/>
    <col min="14" max="14" width="9.21875" customWidth="1"/>
    <col min="15" max="15" width="9.109375" customWidth="1"/>
    <col min="16" max="16" width="27" bestFit="1" customWidth="1"/>
    <col min="17" max="17" width="9.44140625" customWidth="1"/>
    <col min="18" max="18" width="11.5546875" customWidth="1"/>
    <col min="19" max="19" width="11.21875" customWidth="1"/>
    <col min="20" max="20" width="10.5546875" customWidth="1"/>
    <col min="21" max="21" width="11.77734375" customWidth="1"/>
    <col min="22" max="22" width="11.44140625" customWidth="1"/>
    <col min="23" max="24" width="11" customWidth="1"/>
    <col min="25" max="25" width="10.5546875" customWidth="1"/>
  </cols>
  <sheetData>
    <row r="1" spans="1:16" ht="21" customHeight="1" x14ac:dyDescent="0.3">
      <c r="A1" s="315" t="s">
        <v>90</v>
      </c>
      <c r="B1" s="315"/>
    </row>
    <row r="2" spans="1:16" ht="18" x14ac:dyDescent="0.35">
      <c r="A2" s="313" t="s">
        <v>53</v>
      </c>
      <c r="B2" s="314"/>
      <c r="C2" s="317" t="s">
        <v>13</v>
      </c>
      <c r="D2" s="318"/>
      <c r="E2" s="318"/>
      <c r="F2" s="319"/>
      <c r="G2" s="310" t="s">
        <v>14</v>
      </c>
      <c r="H2" s="311"/>
      <c r="I2" s="311"/>
      <c r="J2" s="311"/>
      <c r="K2" s="311"/>
      <c r="L2" s="312"/>
      <c r="M2" t="s">
        <v>60</v>
      </c>
    </row>
    <row r="3" spans="1:16" x14ac:dyDescent="0.3">
      <c r="A3" s="71" t="s">
        <v>27</v>
      </c>
      <c r="B3" s="296" t="s">
        <v>92</v>
      </c>
      <c r="C3" s="297" t="s">
        <v>0</v>
      </c>
      <c r="D3" s="3" t="s">
        <v>1</v>
      </c>
      <c r="E3" s="3" t="s">
        <v>2</v>
      </c>
      <c r="F3" s="298" t="s">
        <v>3</v>
      </c>
      <c r="G3" s="21" t="s">
        <v>0</v>
      </c>
      <c r="H3" s="22" t="s">
        <v>1</v>
      </c>
      <c r="I3" s="22" t="s">
        <v>2</v>
      </c>
      <c r="J3" s="22" t="s">
        <v>3</v>
      </c>
      <c r="K3" s="22" t="s">
        <v>4</v>
      </c>
      <c r="L3" s="23" t="s">
        <v>302</v>
      </c>
      <c r="M3" t="s">
        <v>43</v>
      </c>
      <c r="P3" s="24"/>
    </row>
    <row r="4" spans="1:16" x14ac:dyDescent="0.3">
      <c r="A4" s="36" t="s">
        <v>6</v>
      </c>
      <c r="B4" s="299" t="s">
        <v>34</v>
      </c>
      <c r="C4" s="109" t="s">
        <v>17</v>
      </c>
      <c r="D4" s="109" t="s">
        <v>16</v>
      </c>
      <c r="E4" s="109" t="s">
        <v>18</v>
      </c>
      <c r="F4" s="109" t="s">
        <v>59</v>
      </c>
      <c r="G4" s="111" t="s">
        <v>17</v>
      </c>
      <c r="H4" s="111" t="s">
        <v>16</v>
      </c>
      <c r="I4" s="111" t="s">
        <v>18</v>
      </c>
      <c r="J4" s="111" t="s">
        <v>18</v>
      </c>
      <c r="K4" s="111" t="s">
        <v>59</v>
      </c>
      <c r="L4" s="300"/>
      <c r="M4" s="33" t="s">
        <v>69</v>
      </c>
    </row>
    <row r="5" spans="1:16" x14ac:dyDescent="0.3">
      <c r="A5" s="202"/>
      <c r="B5" s="2" t="s">
        <v>7</v>
      </c>
      <c r="C5" s="4">
        <v>19.899999999999999</v>
      </c>
      <c r="D5" s="4">
        <v>19.920000000000002</v>
      </c>
      <c r="E5" s="40">
        <v>16.906559999999999</v>
      </c>
      <c r="F5" s="31"/>
      <c r="G5" s="4">
        <v>5.63</v>
      </c>
      <c r="H5" s="4">
        <v>12.04</v>
      </c>
      <c r="I5" s="4">
        <v>16.906559999999999</v>
      </c>
      <c r="J5" s="31"/>
      <c r="K5" s="51"/>
      <c r="L5" s="39"/>
    </row>
    <row r="6" spans="1:16" x14ac:dyDescent="0.3">
      <c r="A6" s="11"/>
      <c r="B6" s="2" t="s">
        <v>8</v>
      </c>
      <c r="C6" s="4">
        <v>6.9649999999999999</v>
      </c>
      <c r="D6" s="4">
        <v>10.296666999999999</v>
      </c>
      <c r="E6" s="4">
        <v>9.43</v>
      </c>
      <c r="F6" s="4">
        <v>10.28</v>
      </c>
      <c r="G6" s="40">
        <v>6.9649999999999999</v>
      </c>
      <c r="H6" s="40">
        <v>10.296666999999999</v>
      </c>
      <c r="I6" s="4">
        <v>5.21</v>
      </c>
      <c r="J6" s="4">
        <v>7.262162</v>
      </c>
      <c r="K6" s="4">
        <v>8.32</v>
      </c>
      <c r="L6" s="12"/>
    </row>
    <row r="7" spans="1:16" x14ac:dyDescent="0.3">
      <c r="A7" s="41"/>
      <c r="B7" s="2"/>
      <c r="C7" s="4"/>
      <c r="D7" s="4"/>
      <c r="E7" s="4"/>
      <c r="F7" s="4"/>
      <c r="G7" s="4"/>
      <c r="H7" s="4"/>
      <c r="I7" s="4"/>
      <c r="J7" s="4"/>
      <c r="K7" s="4"/>
      <c r="L7" s="12"/>
    </row>
    <row r="8" spans="1:16" x14ac:dyDescent="0.3">
      <c r="A8" s="42" t="s">
        <v>5</v>
      </c>
      <c r="B8" s="26" t="s">
        <v>34</v>
      </c>
      <c r="C8" s="1" t="s">
        <v>55</v>
      </c>
      <c r="D8" s="1" t="s">
        <v>56</v>
      </c>
      <c r="E8" s="1" t="s">
        <v>57</v>
      </c>
      <c r="F8" s="1" t="s">
        <v>61</v>
      </c>
      <c r="G8" s="1" t="s">
        <v>55</v>
      </c>
      <c r="H8" s="1" t="s">
        <v>58</v>
      </c>
      <c r="I8" s="1" t="s">
        <v>57</v>
      </c>
      <c r="J8" s="1" t="s">
        <v>62</v>
      </c>
      <c r="K8" s="1" t="s">
        <v>63</v>
      </c>
      <c r="L8" s="43"/>
    </row>
    <row r="9" spans="1:16" x14ac:dyDescent="0.3">
      <c r="A9" s="11"/>
      <c r="B9" s="2" t="s">
        <v>7</v>
      </c>
      <c r="C9" s="4">
        <v>16.04</v>
      </c>
      <c r="D9" s="4">
        <v>20.22</v>
      </c>
      <c r="E9" s="40">
        <v>15.12</v>
      </c>
      <c r="F9" s="44"/>
      <c r="G9" s="40">
        <v>16.04</v>
      </c>
      <c r="H9" s="4">
        <v>16.87</v>
      </c>
      <c r="I9" s="4">
        <v>15.12</v>
      </c>
      <c r="J9" s="45"/>
      <c r="K9" s="31"/>
      <c r="L9" s="32"/>
    </row>
    <row r="10" spans="1:16" x14ac:dyDescent="0.3">
      <c r="A10" s="11"/>
      <c r="B10" s="2" t="s">
        <v>8</v>
      </c>
      <c r="C10" s="4"/>
      <c r="D10" s="4"/>
      <c r="E10" s="4">
        <v>10.6</v>
      </c>
      <c r="F10" s="4">
        <v>11.69</v>
      </c>
      <c r="G10" s="4"/>
      <c r="H10" s="4"/>
      <c r="I10" s="40">
        <v>10.6</v>
      </c>
      <c r="J10" s="4">
        <v>6.73</v>
      </c>
      <c r="K10" s="4">
        <v>7.89</v>
      </c>
      <c r="L10" s="12"/>
    </row>
    <row r="11" spans="1:16" x14ac:dyDescent="0.3">
      <c r="A11" s="11"/>
      <c r="B11" s="2"/>
      <c r="C11" s="4"/>
      <c r="D11" s="4"/>
      <c r="E11" s="4"/>
      <c r="F11" s="4"/>
      <c r="G11" s="4"/>
      <c r="H11" s="4"/>
      <c r="I11" s="4"/>
      <c r="J11" s="4"/>
      <c r="K11" s="4"/>
      <c r="L11" s="12"/>
    </row>
    <row r="12" spans="1:16" x14ac:dyDescent="0.3">
      <c r="A12" s="42" t="s">
        <v>39</v>
      </c>
      <c r="B12" s="26" t="s">
        <v>40</v>
      </c>
      <c r="C12" s="1" t="s">
        <v>0</v>
      </c>
      <c r="D12" s="1" t="s">
        <v>1</v>
      </c>
      <c r="E12" s="1" t="s">
        <v>2</v>
      </c>
      <c r="F12" s="1" t="s">
        <v>3</v>
      </c>
      <c r="G12" s="1" t="s">
        <v>0</v>
      </c>
      <c r="H12" s="1" t="s">
        <v>1</v>
      </c>
      <c r="I12" s="1" t="s">
        <v>2</v>
      </c>
      <c r="J12" s="1" t="s">
        <v>3</v>
      </c>
      <c r="K12" s="1" t="s">
        <v>4</v>
      </c>
      <c r="L12" s="43" t="s">
        <v>306</v>
      </c>
    </row>
    <row r="13" spans="1:16" x14ac:dyDescent="0.3">
      <c r="A13" s="11"/>
      <c r="B13" s="2" t="s">
        <v>7</v>
      </c>
      <c r="D13" s="4">
        <v>11.8</v>
      </c>
      <c r="E13" s="40">
        <v>22.67</v>
      </c>
      <c r="F13" s="31"/>
      <c r="G13" s="4"/>
      <c r="H13" s="40">
        <v>11.8</v>
      </c>
      <c r="I13" s="4">
        <v>22.67</v>
      </c>
      <c r="J13" s="31"/>
      <c r="K13" s="31"/>
      <c r="L13" s="32"/>
    </row>
    <row r="14" spans="1:16" x14ac:dyDescent="0.3">
      <c r="A14" s="11"/>
      <c r="B14" s="2" t="s">
        <v>8</v>
      </c>
      <c r="D14" s="4"/>
      <c r="E14" s="4">
        <v>8.9</v>
      </c>
      <c r="F14" s="40">
        <v>10.33</v>
      </c>
      <c r="G14" s="4"/>
      <c r="H14" s="4"/>
      <c r="I14" s="40">
        <v>8.9</v>
      </c>
      <c r="J14" s="4">
        <v>10.33</v>
      </c>
      <c r="K14" s="4"/>
      <c r="L14" s="12"/>
    </row>
    <row r="15" spans="1:16" x14ac:dyDescent="0.3">
      <c r="A15" s="11"/>
      <c r="B15" s="2" t="s">
        <v>72</v>
      </c>
      <c r="C15">
        <v>32.67</v>
      </c>
      <c r="D15" s="4">
        <v>16.2</v>
      </c>
      <c r="E15" s="4">
        <v>21.67</v>
      </c>
      <c r="F15" s="44"/>
      <c r="G15" s="40">
        <v>32.67</v>
      </c>
      <c r="H15" s="40">
        <v>16.2</v>
      </c>
      <c r="I15" s="40">
        <v>21.67</v>
      </c>
      <c r="J15" s="31"/>
      <c r="K15" s="31"/>
      <c r="L15" s="32"/>
    </row>
    <row r="16" spans="1:16" x14ac:dyDescent="0.3">
      <c r="A16" s="11"/>
      <c r="B16" s="2" t="s">
        <v>285</v>
      </c>
      <c r="D16" s="4"/>
      <c r="E16" s="4">
        <v>9.9</v>
      </c>
      <c r="F16" s="40">
        <v>10.67</v>
      </c>
      <c r="G16" s="4"/>
      <c r="H16" s="4"/>
      <c r="I16" s="40">
        <v>9.9</v>
      </c>
      <c r="J16" s="4">
        <v>10.67</v>
      </c>
      <c r="K16" s="50">
        <v>10.67</v>
      </c>
      <c r="L16" s="52">
        <f>K16</f>
        <v>10.67</v>
      </c>
    </row>
    <row r="17" spans="1:13" x14ac:dyDescent="0.3">
      <c r="A17" s="11"/>
      <c r="B17" s="2"/>
      <c r="D17" s="4"/>
      <c r="E17" s="4"/>
      <c r="F17" s="4"/>
      <c r="G17" s="4"/>
      <c r="H17" s="4"/>
      <c r="I17" s="4"/>
      <c r="J17" s="4"/>
      <c r="K17" s="4"/>
      <c r="L17" s="12"/>
    </row>
    <row r="18" spans="1:13" x14ac:dyDescent="0.3">
      <c r="A18" s="42" t="s">
        <v>24</v>
      </c>
      <c r="B18" s="26" t="s">
        <v>36</v>
      </c>
      <c r="C18" s="48"/>
      <c r="D18" s="48"/>
      <c r="E18" s="48"/>
      <c r="F18" s="48"/>
      <c r="G18" s="48"/>
      <c r="H18" s="48"/>
      <c r="I18" s="48"/>
      <c r="J18" s="26"/>
      <c r="K18" s="26"/>
      <c r="L18" s="46"/>
    </row>
    <row r="19" spans="1:13" x14ac:dyDescent="0.3">
      <c r="A19" s="11"/>
      <c r="B19" s="2" t="s">
        <v>7</v>
      </c>
      <c r="F19" s="45"/>
      <c r="J19" s="45"/>
      <c r="K19" s="45"/>
      <c r="L19" s="47"/>
      <c r="M19" t="s">
        <v>85</v>
      </c>
    </row>
    <row r="20" spans="1:13" x14ac:dyDescent="0.3">
      <c r="A20" s="11"/>
      <c r="B20" s="2" t="s">
        <v>8</v>
      </c>
      <c r="C20" s="40">
        <v>12.9</v>
      </c>
      <c r="D20" s="40">
        <v>12.9</v>
      </c>
      <c r="E20" s="40">
        <v>12.9</v>
      </c>
      <c r="F20" s="40"/>
      <c r="G20" s="40">
        <v>12.9</v>
      </c>
      <c r="H20" s="40">
        <v>12.9</v>
      </c>
      <c r="I20" s="40">
        <v>12.9</v>
      </c>
      <c r="J20" s="40"/>
      <c r="K20" s="40"/>
      <c r="L20" s="49"/>
      <c r="M20" t="s">
        <v>70</v>
      </c>
    </row>
    <row r="21" spans="1:13" x14ac:dyDescent="0.3">
      <c r="A21" s="41"/>
      <c r="B21" s="2"/>
      <c r="C21" s="40"/>
      <c r="D21" s="40"/>
      <c r="E21" s="40"/>
      <c r="F21" s="40"/>
      <c r="G21" s="40"/>
      <c r="H21" s="40"/>
      <c r="I21" s="40"/>
      <c r="J21" s="4"/>
      <c r="K21" s="4"/>
      <c r="L21" s="12"/>
    </row>
    <row r="22" spans="1:13" x14ac:dyDescent="0.3">
      <c r="A22" s="42" t="s">
        <v>50</v>
      </c>
      <c r="B22" s="26" t="s">
        <v>45</v>
      </c>
      <c r="C22" s="48"/>
      <c r="D22" s="48"/>
      <c r="E22" s="48"/>
      <c r="F22" s="48"/>
      <c r="G22" s="48"/>
      <c r="H22" s="48"/>
      <c r="I22" s="48"/>
      <c r="J22" s="48"/>
      <c r="K22" s="48"/>
      <c r="L22" s="64"/>
      <c r="M22" t="s">
        <v>84</v>
      </c>
    </row>
    <row r="23" spans="1:13" x14ac:dyDescent="0.3">
      <c r="A23" s="11"/>
      <c r="B23" s="2" t="s">
        <v>29</v>
      </c>
      <c r="C23" s="50">
        <v>5.88</v>
      </c>
      <c r="D23" s="50">
        <v>5.88</v>
      </c>
      <c r="E23" s="50">
        <v>5.88</v>
      </c>
      <c r="F23" s="50">
        <v>5.88</v>
      </c>
      <c r="G23" s="50">
        <v>5.88</v>
      </c>
      <c r="H23" s="50">
        <v>5.88</v>
      </c>
      <c r="I23" s="50">
        <v>5.88</v>
      </c>
      <c r="J23" s="50">
        <v>5.88</v>
      </c>
      <c r="K23" s="50">
        <v>5.88</v>
      </c>
      <c r="L23" s="52">
        <f>K23</f>
        <v>5.88</v>
      </c>
    </row>
    <row r="24" spans="1:13" x14ac:dyDescent="0.3">
      <c r="A24" s="11"/>
      <c r="B24" s="2" t="s">
        <v>49</v>
      </c>
      <c r="C24" s="50">
        <v>6.38</v>
      </c>
      <c r="D24" s="50">
        <v>6.38</v>
      </c>
      <c r="E24" s="50">
        <v>6.38</v>
      </c>
      <c r="F24" s="50">
        <v>6.38</v>
      </c>
      <c r="G24" s="50">
        <v>6.38</v>
      </c>
      <c r="H24" s="50">
        <v>6.38</v>
      </c>
      <c r="I24" s="50">
        <v>6.38</v>
      </c>
      <c r="J24" s="50">
        <v>6.38</v>
      </c>
      <c r="K24" s="50">
        <v>6.38</v>
      </c>
      <c r="L24" s="52">
        <f>K24</f>
        <v>6.38</v>
      </c>
    </row>
    <row r="25" spans="1:13" x14ac:dyDescent="0.3">
      <c r="A25" s="11"/>
      <c r="B25" s="2" t="s">
        <v>7</v>
      </c>
      <c r="C25" s="50">
        <v>15.3</v>
      </c>
      <c r="D25" s="50">
        <v>15.3</v>
      </c>
      <c r="E25" s="50">
        <v>15.3</v>
      </c>
      <c r="F25" s="51"/>
      <c r="G25" s="50">
        <v>15.3</v>
      </c>
      <c r="H25" s="50">
        <v>15.3</v>
      </c>
      <c r="I25" s="50">
        <v>15.3</v>
      </c>
      <c r="J25" s="50">
        <v>15.3</v>
      </c>
      <c r="K25" s="31"/>
      <c r="L25" s="32"/>
    </row>
    <row r="26" spans="1:13" x14ac:dyDescent="0.3">
      <c r="A26" s="191"/>
      <c r="B26" s="192"/>
      <c r="C26" s="63"/>
      <c r="D26" s="63"/>
      <c r="E26" s="63"/>
      <c r="F26" s="63"/>
      <c r="G26" s="63"/>
      <c r="H26" s="63"/>
      <c r="I26" s="63"/>
      <c r="J26" s="63"/>
      <c r="K26" s="63"/>
      <c r="L26" s="193"/>
    </row>
    <row r="27" spans="1:13" x14ac:dyDescent="0.3">
      <c r="A27" s="194" t="s">
        <v>183</v>
      </c>
      <c r="B27" s="66" t="s">
        <v>184</v>
      </c>
      <c r="C27" s="185"/>
      <c r="D27" s="185"/>
      <c r="E27" s="185"/>
      <c r="F27" s="185"/>
      <c r="G27" s="185"/>
      <c r="H27" s="185"/>
      <c r="I27" s="185"/>
      <c r="J27" s="185"/>
      <c r="K27" s="185"/>
      <c r="L27" s="186"/>
      <c r="M27" t="s">
        <v>185</v>
      </c>
    </row>
    <row r="28" spans="1:13" x14ac:dyDescent="0.3">
      <c r="A28" s="191"/>
      <c r="B28" s="192" t="s">
        <v>29</v>
      </c>
      <c r="C28" s="50">
        <v>4.4000000000000004</v>
      </c>
      <c r="D28" s="50">
        <v>4.4000000000000004</v>
      </c>
      <c r="E28" s="50">
        <v>4.4000000000000004</v>
      </c>
      <c r="F28" s="50">
        <v>4.4000000000000004</v>
      </c>
      <c r="G28" s="50">
        <v>4.4000000000000004</v>
      </c>
      <c r="H28" s="50">
        <v>4.4000000000000004</v>
      </c>
      <c r="I28" s="50">
        <v>4.4000000000000004</v>
      </c>
      <c r="J28" s="50">
        <v>4.4000000000000004</v>
      </c>
      <c r="K28" s="50">
        <v>4.4000000000000004</v>
      </c>
      <c r="L28" s="52">
        <f>K28</f>
        <v>4.4000000000000004</v>
      </c>
    </row>
    <row r="29" spans="1:13" x14ac:dyDescent="0.3">
      <c r="A29" s="191"/>
      <c r="B29" s="192" t="s">
        <v>49</v>
      </c>
      <c r="C29" s="50">
        <v>7.5</v>
      </c>
      <c r="D29" s="50">
        <v>7.5</v>
      </c>
      <c r="E29" s="50">
        <v>7.5</v>
      </c>
      <c r="F29" s="50">
        <v>7.5</v>
      </c>
      <c r="G29" s="50">
        <v>7.5</v>
      </c>
      <c r="H29" s="50">
        <v>7.5</v>
      </c>
      <c r="I29" s="50">
        <v>7.5</v>
      </c>
      <c r="J29" s="50">
        <v>7.5</v>
      </c>
      <c r="K29" s="50">
        <v>7.5</v>
      </c>
      <c r="L29" s="52">
        <f>K29</f>
        <v>7.5</v>
      </c>
    </row>
    <row r="30" spans="1:13" x14ac:dyDescent="0.3">
      <c r="A30" s="191"/>
      <c r="B30" s="2" t="s">
        <v>7</v>
      </c>
      <c r="C30" s="50">
        <v>14</v>
      </c>
      <c r="D30" s="50">
        <v>14</v>
      </c>
      <c r="E30" s="50">
        <v>14</v>
      </c>
      <c r="F30" s="51"/>
      <c r="G30" s="50">
        <v>14</v>
      </c>
      <c r="H30" s="50">
        <v>14</v>
      </c>
      <c r="I30" s="50">
        <v>14</v>
      </c>
      <c r="J30" s="51"/>
      <c r="K30" s="51"/>
      <c r="L30" s="39"/>
    </row>
    <row r="31" spans="1:13" x14ac:dyDescent="0.3">
      <c r="A31" s="11"/>
      <c r="B31" s="2"/>
      <c r="C31" s="53"/>
      <c r="D31" s="53"/>
      <c r="E31" s="53"/>
      <c r="F31" s="53"/>
      <c r="G31" s="53"/>
      <c r="H31" s="53"/>
      <c r="I31" s="53"/>
      <c r="J31" s="53"/>
      <c r="K31" s="4"/>
      <c r="L31" s="12"/>
    </row>
    <row r="32" spans="1:13" x14ac:dyDescent="0.3">
      <c r="A32" s="42" t="s">
        <v>28</v>
      </c>
      <c r="B32" s="26" t="s">
        <v>38</v>
      </c>
      <c r="C32" s="1" t="s">
        <v>0</v>
      </c>
      <c r="D32" s="1" t="s">
        <v>1</v>
      </c>
      <c r="E32" s="1" t="s">
        <v>2</v>
      </c>
      <c r="F32" s="1" t="s">
        <v>3</v>
      </c>
      <c r="G32" s="1" t="s">
        <v>0</v>
      </c>
      <c r="H32" s="1" t="s">
        <v>1</v>
      </c>
      <c r="I32" s="1" t="s">
        <v>2</v>
      </c>
      <c r="J32" s="1" t="s">
        <v>3</v>
      </c>
      <c r="K32" s="1" t="s">
        <v>4</v>
      </c>
      <c r="L32" s="43" t="s">
        <v>306</v>
      </c>
      <c r="M32" t="s">
        <v>83</v>
      </c>
    </row>
    <row r="33" spans="1:13" x14ac:dyDescent="0.3">
      <c r="A33" s="11"/>
      <c r="B33" s="2" t="s">
        <v>7</v>
      </c>
      <c r="C33" s="50">
        <v>14.2</v>
      </c>
      <c r="D33" s="50">
        <v>14.2</v>
      </c>
      <c r="E33" s="50">
        <v>14.2</v>
      </c>
      <c r="F33" s="51"/>
      <c r="G33" s="50">
        <v>14.2</v>
      </c>
      <c r="H33" s="50">
        <v>14.2</v>
      </c>
      <c r="I33" s="50">
        <v>14.2</v>
      </c>
      <c r="J33" s="31"/>
      <c r="K33" s="31"/>
      <c r="L33" s="32"/>
    </row>
    <row r="34" spans="1:13" x14ac:dyDescent="0.3">
      <c r="A34" s="11"/>
      <c r="B34" s="2" t="s">
        <v>64</v>
      </c>
      <c r="C34" s="50"/>
      <c r="D34" s="50">
        <f t="shared" ref="D34:K34" si="0">(7.9+9.6)/2</f>
        <v>8.75</v>
      </c>
      <c r="E34" s="50">
        <f t="shared" si="0"/>
        <v>8.75</v>
      </c>
      <c r="F34" s="50">
        <f t="shared" si="0"/>
        <v>8.75</v>
      </c>
      <c r="G34" s="50"/>
      <c r="H34" s="50">
        <f t="shared" si="0"/>
        <v>8.75</v>
      </c>
      <c r="I34" s="50">
        <f t="shared" si="0"/>
        <v>8.75</v>
      </c>
      <c r="J34" s="50">
        <f t="shared" si="0"/>
        <v>8.75</v>
      </c>
      <c r="K34" s="50">
        <f t="shared" si="0"/>
        <v>8.75</v>
      </c>
      <c r="L34" s="52">
        <f>K34</f>
        <v>8.75</v>
      </c>
    </row>
    <row r="35" spans="1:13" x14ac:dyDescent="0.3">
      <c r="A35" s="41"/>
      <c r="B35" s="2" t="s">
        <v>48</v>
      </c>
      <c r="C35" s="50">
        <v>15.6</v>
      </c>
      <c r="D35" s="50">
        <v>15.6</v>
      </c>
      <c r="E35" s="50"/>
      <c r="F35" s="50"/>
      <c r="G35" s="50">
        <v>15.6</v>
      </c>
      <c r="H35" s="50">
        <v>15.6</v>
      </c>
      <c r="I35" s="50"/>
      <c r="J35" s="50"/>
      <c r="K35" s="31"/>
      <c r="L35" s="32"/>
    </row>
    <row r="36" spans="1:13" x14ac:dyDescent="0.3">
      <c r="A36" s="11"/>
      <c r="B36" s="2" t="s">
        <v>65</v>
      </c>
      <c r="C36" s="50">
        <v>3.9</v>
      </c>
      <c r="D36" s="50">
        <v>3.9</v>
      </c>
      <c r="E36" s="50">
        <v>3.9</v>
      </c>
      <c r="F36" s="50">
        <v>3.9</v>
      </c>
      <c r="G36" s="50">
        <v>3.9</v>
      </c>
      <c r="H36" s="50">
        <v>3.9</v>
      </c>
      <c r="I36" s="50">
        <v>3.9</v>
      </c>
      <c r="J36" s="50">
        <v>3.9</v>
      </c>
      <c r="K36" s="50">
        <v>3.9</v>
      </c>
      <c r="L36" s="52">
        <f>K36</f>
        <v>3.9</v>
      </c>
    </row>
    <row r="37" spans="1:13" x14ac:dyDescent="0.3">
      <c r="A37" s="11"/>
      <c r="B37" s="2"/>
      <c r="C37" s="50"/>
      <c r="D37" s="50"/>
      <c r="E37" s="50"/>
      <c r="F37" s="50"/>
      <c r="G37" s="50"/>
      <c r="H37" s="50"/>
      <c r="I37" s="50"/>
      <c r="J37" s="4"/>
      <c r="K37" s="4"/>
      <c r="L37" s="12"/>
    </row>
    <row r="38" spans="1:13" x14ac:dyDescent="0.3">
      <c r="A38" s="42" t="s">
        <v>23</v>
      </c>
      <c r="B38" s="26" t="s">
        <v>38</v>
      </c>
      <c r="C38" s="1" t="s">
        <v>26</v>
      </c>
      <c r="D38" s="26"/>
      <c r="E38" s="1" t="s">
        <v>12</v>
      </c>
      <c r="F38" s="1" t="s">
        <v>12</v>
      </c>
      <c r="G38" s="1" t="s">
        <v>26</v>
      </c>
      <c r="H38" s="26"/>
      <c r="I38" s="1" t="s">
        <v>12</v>
      </c>
      <c r="J38" s="1" t="s">
        <v>12</v>
      </c>
      <c r="K38" s="26"/>
      <c r="L38" s="46"/>
    </row>
    <row r="39" spans="1:13" ht="15" customHeight="1" x14ac:dyDescent="0.3">
      <c r="A39" s="11"/>
      <c r="B39" s="2" t="s">
        <v>86</v>
      </c>
      <c r="C39" s="4">
        <v>19.170000000000002</v>
      </c>
      <c r="F39" s="45"/>
      <c r="G39" s="40">
        <v>19.170000000000002</v>
      </c>
      <c r="J39" s="45"/>
      <c r="K39" s="45"/>
      <c r="L39" s="47"/>
      <c r="M39" t="s">
        <v>67</v>
      </c>
    </row>
    <row r="40" spans="1:13" x14ac:dyDescent="0.3">
      <c r="A40" s="11"/>
      <c r="B40" s="2" t="s">
        <v>64</v>
      </c>
      <c r="E40" s="63">
        <v>7.02</v>
      </c>
      <c r="F40" s="63">
        <v>7.02</v>
      </c>
      <c r="I40" s="4">
        <v>7.02</v>
      </c>
      <c r="J40" s="4">
        <v>7.02</v>
      </c>
      <c r="L40" s="34"/>
      <c r="M40" t="s">
        <v>67</v>
      </c>
    </row>
    <row r="41" spans="1:13" x14ac:dyDescent="0.3">
      <c r="A41" s="11"/>
      <c r="B41" s="2"/>
      <c r="E41" s="63"/>
      <c r="F41" s="63"/>
      <c r="I41" s="4"/>
      <c r="J41" s="4"/>
      <c r="L41" s="34"/>
    </row>
    <row r="42" spans="1:13" x14ac:dyDescent="0.3">
      <c r="A42" s="42" t="s">
        <v>177</v>
      </c>
      <c r="B42" s="26" t="s">
        <v>38</v>
      </c>
      <c r="C42" s="187"/>
      <c r="D42" s="187"/>
      <c r="E42" s="187" t="s">
        <v>181</v>
      </c>
      <c r="F42" s="187"/>
      <c r="G42" s="187"/>
      <c r="H42" s="187"/>
      <c r="I42" s="187"/>
      <c r="J42" s="187"/>
      <c r="K42" s="187"/>
      <c r="L42" s="188"/>
    </row>
    <row r="43" spans="1:13" x14ac:dyDescent="0.3">
      <c r="A43" s="11"/>
      <c r="B43" s="2" t="s">
        <v>180</v>
      </c>
      <c r="C43" s="40"/>
      <c r="D43" s="40"/>
      <c r="E43" s="63">
        <f>5188/600</f>
        <v>8.6466666666666665</v>
      </c>
      <c r="F43" s="63">
        <f>5188/600</f>
        <v>8.6466666666666665</v>
      </c>
      <c r="G43" s="40"/>
      <c r="H43" s="40"/>
      <c r="I43" s="63">
        <f>5188/600</f>
        <v>8.6466666666666665</v>
      </c>
      <c r="J43" s="63">
        <f>5188/600</f>
        <v>8.6466666666666665</v>
      </c>
      <c r="K43" s="4"/>
      <c r="L43" s="12"/>
    </row>
    <row r="44" spans="1:13" x14ac:dyDescent="0.3">
      <c r="A44" s="41"/>
      <c r="B44" s="2"/>
      <c r="E44" s="4"/>
      <c r="F44" s="4"/>
      <c r="I44" s="4"/>
      <c r="L44" s="34"/>
    </row>
    <row r="45" spans="1:13" x14ac:dyDescent="0.3">
      <c r="A45" s="42" t="s">
        <v>22</v>
      </c>
      <c r="B45" s="26" t="s">
        <v>35</v>
      </c>
      <c r="C45" s="54"/>
      <c r="D45" s="200" t="s">
        <v>11</v>
      </c>
      <c r="E45" s="200" t="s">
        <v>12</v>
      </c>
      <c r="F45" s="200" t="s">
        <v>82</v>
      </c>
      <c r="G45" s="200"/>
      <c r="H45" s="200" t="s">
        <v>11</v>
      </c>
      <c r="I45" s="200" t="s">
        <v>12</v>
      </c>
      <c r="J45" s="200" t="s">
        <v>21</v>
      </c>
      <c r="K45" s="200"/>
      <c r="L45" s="201"/>
    </row>
    <row r="46" spans="1:13" x14ac:dyDescent="0.3">
      <c r="A46" s="11"/>
      <c r="B46" s="2" t="s">
        <v>51</v>
      </c>
      <c r="C46" s="50">
        <v>16.818333333333332</v>
      </c>
      <c r="D46" s="4">
        <v>16.818333333333332</v>
      </c>
      <c r="E46" s="4">
        <v>15.528333333333334</v>
      </c>
      <c r="F46" s="4">
        <v>15.023333333333333</v>
      </c>
      <c r="G46" s="50">
        <v>16.818333333333332</v>
      </c>
      <c r="H46" s="4">
        <v>16.818333333333332</v>
      </c>
      <c r="I46" s="4">
        <v>15.528333333333334</v>
      </c>
      <c r="J46" s="4">
        <v>15.023333333333333</v>
      </c>
      <c r="K46" s="4"/>
      <c r="L46" s="12"/>
      <c r="M46" t="s">
        <v>71</v>
      </c>
    </row>
    <row r="47" spans="1:13" x14ac:dyDescent="0.3">
      <c r="A47" s="11"/>
      <c r="B47" s="2"/>
      <c r="C47" s="50"/>
      <c r="D47" s="4"/>
      <c r="E47" s="4"/>
      <c r="F47" s="4"/>
      <c r="G47" s="50"/>
      <c r="H47" s="4"/>
      <c r="I47" s="4"/>
      <c r="J47" s="4"/>
      <c r="K47" s="4"/>
      <c r="L47" s="12"/>
    </row>
    <row r="48" spans="1:13" x14ac:dyDescent="0.3">
      <c r="A48" s="42" t="s">
        <v>294</v>
      </c>
      <c r="B48" s="26" t="s">
        <v>45</v>
      </c>
      <c r="C48" s="1" t="s">
        <v>0</v>
      </c>
      <c r="D48" s="1" t="s">
        <v>1</v>
      </c>
      <c r="E48" s="1" t="s">
        <v>2</v>
      </c>
      <c r="F48" s="1" t="s">
        <v>3</v>
      </c>
      <c r="G48" s="1" t="s">
        <v>0</v>
      </c>
      <c r="H48" s="1" t="s">
        <v>1</v>
      </c>
      <c r="I48" s="1" t="s">
        <v>2</v>
      </c>
      <c r="J48" s="1" t="s">
        <v>3</v>
      </c>
      <c r="K48" s="1" t="s">
        <v>4</v>
      </c>
      <c r="L48" s="43"/>
      <c r="M48" s="33" t="s">
        <v>211</v>
      </c>
    </row>
    <row r="49" spans="1:15" x14ac:dyDescent="0.3">
      <c r="A49" s="11"/>
      <c r="B49" s="192" t="s">
        <v>29</v>
      </c>
      <c r="C49" s="63">
        <v>7.9250000000000007</v>
      </c>
      <c r="D49" s="63">
        <v>4.7776923076923072</v>
      </c>
      <c r="E49" s="63">
        <v>3.5442857142857145</v>
      </c>
      <c r="F49" s="63"/>
      <c r="G49" s="63" t="s">
        <v>212</v>
      </c>
      <c r="H49" s="63" t="s">
        <v>212</v>
      </c>
      <c r="I49" s="63">
        <v>3.9500000000000006</v>
      </c>
      <c r="J49" s="63">
        <v>2.2566666666666664</v>
      </c>
      <c r="K49" s="63"/>
      <c r="L49" s="193"/>
    </row>
    <row r="50" spans="1:15" x14ac:dyDescent="0.3">
      <c r="A50" s="11"/>
      <c r="B50" s="192" t="s">
        <v>7</v>
      </c>
      <c r="C50" s="63">
        <v>17.409411764705887</v>
      </c>
      <c r="D50" s="63">
        <v>10.130000000000001</v>
      </c>
      <c r="F50" s="45"/>
      <c r="G50" s="63">
        <v>10.914999999999999</v>
      </c>
      <c r="H50" s="63">
        <v>10.719285714285714</v>
      </c>
      <c r="I50" s="63" t="s">
        <v>212</v>
      </c>
      <c r="J50" s="45"/>
      <c r="K50" s="45"/>
      <c r="L50" s="47"/>
    </row>
    <row r="51" spans="1:15" x14ac:dyDescent="0.3">
      <c r="A51" s="11"/>
      <c r="B51" s="66" t="s">
        <v>209</v>
      </c>
      <c r="C51" s="1" t="s">
        <v>0</v>
      </c>
      <c r="D51" s="1" t="s">
        <v>1</v>
      </c>
      <c r="E51" s="1" t="s">
        <v>2</v>
      </c>
      <c r="F51" s="1" t="s">
        <v>3</v>
      </c>
      <c r="G51" s="1" t="s">
        <v>0</v>
      </c>
      <c r="H51" s="1" t="s">
        <v>1</v>
      </c>
      <c r="I51" s="1" t="s">
        <v>2</v>
      </c>
      <c r="J51" s="1" t="s">
        <v>3</v>
      </c>
      <c r="K51" s="1" t="s">
        <v>4</v>
      </c>
      <c r="L51" s="43" t="s">
        <v>306</v>
      </c>
      <c r="M51" s="33" t="s">
        <v>211</v>
      </c>
    </row>
    <row r="52" spans="1:15" x14ac:dyDescent="0.3">
      <c r="A52" s="11"/>
      <c r="B52" s="192" t="s">
        <v>128</v>
      </c>
      <c r="C52" s="63">
        <v>21.775753207499999</v>
      </c>
      <c r="D52" s="63">
        <v>12.813032392866665</v>
      </c>
      <c r="E52" s="63" t="s">
        <v>212</v>
      </c>
      <c r="F52" s="189" t="s">
        <v>212</v>
      </c>
      <c r="G52" s="63">
        <v>20.051626598333335</v>
      </c>
      <c r="H52" s="63">
        <v>12.087408123937498</v>
      </c>
      <c r="I52" s="63" t="s">
        <v>212</v>
      </c>
      <c r="J52" s="189" t="s">
        <v>212</v>
      </c>
      <c r="K52" s="189"/>
      <c r="L52" s="190"/>
    </row>
    <row r="53" spans="1:15" x14ac:dyDescent="0.3">
      <c r="A53" s="11"/>
      <c r="B53" s="192" t="s">
        <v>8</v>
      </c>
      <c r="C53" s="63">
        <v>12.783047955857143</v>
      </c>
      <c r="D53" s="63">
        <v>7.9486807404999986</v>
      </c>
      <c r="E53" s="63">
        <v>6.0990078469999993</v>
      </c>
      <c r="F53" s="63">
        <v>4.6829645319999997</v>
      </c>
      <c r="G53" s="63">
        <v>13.296666569999999</v>
      </c>
      <c r="H53" s="63">
        <v>8.3271237907777778</v>
      </c>
      <c r="I53" s="63">
        <v>6.1334536726</v>
      </c>
      <c r="J53" s="63">
        <v>4.6829645319999997</v>
      </c>
      <c r="K53" s="50">
        <f>J53</f>
        <v>4.6829645319999997</v>
      </c>
      <c r="L53" s="52">
        <f>J53</f>
        <v>4.6829645319999997</v>
      </c>
    </row>
    <row r="54" spans="1:15" x14ac:dyDescent="0.3">
      <c r="A54" s="11"/>
      <c r="B54" s="192" t="s">
        <v>7</v>
      </c>
      <c r="C54" s="63">
        <v>20.77034792769231</v>
      </c>
      <c r="D54" s="63">
        <v>11.5678494909</v>
      </c>
      <c r="F54" s="45"/>
      <c r="G54" s="63">
        <v>16.7150905313</v>
      </c>
      <c r="H54" s="63">
        <v>11.932976157933334</v>
      </c>
      <c r="I54" s="63" t="s">
        <v>212</v>
      </c>
      <c r="J54" s="45"/>
      <c r="K54" s="45"/>
      <c r="L54" s="47"/>
    </row>
    <row r="55" spans="1:15" x14ac:dyDescent="0.3">
      <c r="A55" s="11"/>
      <c r="B55" s="66" t="s">
        <v>38</v>
      </c>
      <c r="C55" s="1" t="s">
        <v>0</v>
      </c>
      <c r="D55" s="1" t="s">
        <v>1</v>
      </c>
      <c r="E55" s="1" t="s">
        <v>2</v>
      </c>
      <c r="F55" s="1" t="s">
        <v>3</v>
      </c>
      <c r="G55" s="1" t="s">
        <v>0</v>
      </c>
      <c r="H55" s="1" t="s">
        <v>1</v>
      </c>
      <c r="I55" s="1" t="s">
        <v>2</v>
      </c>
      <c r="J55" s="1" t="s">
        <v>3</v>
      </c>
      <c r="K55" s="1" t="s">
        <v>4</v>
      </c>
      <c r="L55" s="43" t="s">
        <v>306</v>
      </c>
      <c r="M55" s="33" t="s">
        <v>210</v>
      </c>
    </row>
    <row r="56" spans="1:15" x14ac:dyDescent="0.3">
      <c r="A56" s="11"/>
      <c r="B56" s="2" t="s">
        <v>29</v>
      </c>
      <c r="C56" s="63">
        <v>8.3333333330000006</v>
      </c>
      <c r="D56" s="63">
        <v>7.8766983446363632</v>
      </c>
      <c r="E56" s="63">
        <v>5.2992064978749998</v>
      </c>
      <c r="F56" s="63">
        <v>4.2856985605000002</v>
      </c>
      <c r="G56" s="63" t="s">
        <v>212</v>
      </c>
      <c r="H56" s="63" t="s">
        <v>212</v>
      </c>
      <c r="I56" s="63" t="s">
        <v>212</v>
      </c>
      <c r="J56" s="63">
        <v>3.1557809856666665</v>
      </c>
      <c r="K56" s="63">
        <v>2.8626505473333332</v>
      </c>
      <c r="L56" s="52">
        <f>K56</f>
        <v>2.8626505473333332</v>
      </c>
    </row>
    <row r="57" spans="1:15" x14ac:dyDescent="0.3">
      <c r="A57" s="11"/>
      <c r="B57" s="2" t="s">
        <v>48</v>
      </c>
      <c r="C57" s="63">
        <v>19.333333329999999</v>
      </c>
      <c r="D57" s="63">
        <v>13.274231086499999</v>
      </c>
      <c r="E57" s="63" t="s">
        <v>212</v>
      </c>
      <c r="F57" s="63" t="s">
        <v>212</v>
      </c>
      <c r="G57" s="63">
        <v>20.106382979999999</v>
      </c>
      <c r="H57" s="63">
        <v>6.5365668814999998</v>
      </c>
      <c r="I57" s="63" t="s">
        <v>212</v>
      </c>
      <c r="J57" s="63" t="s">
        <v>212</v>
      </c>
      <c r="K57" s="189" t="s">
        <v>212</v>
      </c>
      <c r="L57" s="190"/>
    </row>
    <row r="58" spans="1:15" x14ac:dyDescent="0.3">
      <c r="A58" s="11"/>
      <c r="B58" s="2" t="s">
        <v>213</v>
      </c>
      <c r="C58" s="63">
        <v>11.244470708600002</v>
      </c>
      <c r="D58" s="63">
        <v>8.6675427060000008</v>
      </c>
      <c r="E58" s="63">
        <v>7.1604680281666662</v>
      </c>
      <c r="F58" s="63">
        <v>4.6341463410000001</v>
      </c>
      <c r="G58" s="63" t="s">
        <v>212</v>
      </c>
      <c r="H58" s="63" t="s">
        <v>212</v>
      </c>
      <c r="I58" s="63">
        <v>5.1277704132222226</v>
      </c>
      <c r="J58" s="63">
        <v>4.732246590099999</v>
      </c>
      <c r="K58" s="63">
        <v>4.1447368420000004</v>
      </c>
      <c r="L58" s="52">
        <f>K58</f>
        <v>4.1447368420000004</v>
      </c>
    </row>
    <row r="59" spans="1:15" ht="15" customHeight="1" x14ac:dyDescent="0.3">
      <c r="B59" s="2" t="s">
        <v>7</v>
      </c>
      <c r="C59" s="63">
        <v>23.256285431764709</v>
      </c>
      <c r="D59" s="63">
        <v>19.641096845</v>
      </c>
      <c r="E59" s="4"/>
      <c r="F59" s="31"/>
      <c r="G59" s="63" t="s">
        <v>212</v>
      </c>
      <c r="H59" s="63">
        <v>15.193160556052629</v>
      </c>
      <c r="I59" s="63" t="s">
        <v>212</v>
      </c>
      <c r="J59" s="31"/>
      <c r="K59" s="45"/>
      <c r="L59" s="47"/>
      <c r="M59" s="28"/>
    </row>
    <row r="60" spans="1:15" ht="15" customHeight="1" x14ac:dyDescent="0.3">
      <c r="B60" s="2"/>
      <c r="C60" s="63"/>
      <c r="D60" s="63"/>
      <c r="E60" s="4"/>
      <c r="F60" s="4"/>
      <c r="G60" s="63"/>
      <c r="H60" s="63"/>
      <c r="I60" s="63"/>
      <c r="J60" s="4"/>
      <c r="L60" s="34"/>
    </row>
    <row r="61" spans="1:15" ht="15" customHeight="1" x14ac:dyDescent="0.3">
      <c r="A61" s="66" t="s">
        <v>295</v>
      </c>
      <c r="B61" s="26" t="s">
        <v>37</v>
      </c>
      <c r="C61" s="1">
        <v>15</v>
      </c>
      <c r="D61" s="1">
        <v>25</v>
      </c>
      <c r="E61" s="1">
        <v>35</v>
      </c>
      <c r="F61" s="1">
        <v>45</v>
      </c>
      <c r="G61" s="1">
        <v>15</v>
      </c>
      <c r="H61" s="1">
        <v>25</v>
      </c>
      <c r="I61" s="1">
        <v>35</v>
      </c>
      <c r="J61" s="1">
        <v>45</v>
      </c>
      <c r="K61" s="1">
        <v>55</v>
      </c>
      <c r="L61" s="43">
        <v>65</v>
      </c>
      <c r="M61" s="33" t="s">
        <v>283</v>
      </c>
      <c r="N61" s="1" t="s">
        <v>169</v>
      </c>
      <c r="O61" s="1" t="s">
        <v>170</v>
      </c>
    </row>
    <row r="62" spans="1:15" ht="15" customHeight="1" x14ac:dyDescent="0.3">
      <c r="B62" s="2" t="s">
        <v>160</v>
      </c>
      <c r="C62" s="63">
        <f>$N62*C$61^$O62</f>
        <v>5.9877149883697616</v>
      </c>
      <c r="D62" s="63">
        <f t="shared" ref="D62:K64" si="1">$N62*D$61^$O62</f>
        <v>5.520611284553719</v>
      </c>
      <c r="E62" s="63">
        <f t="shared" si="1"/>
        <v>5.233025019557827</v>
      </c>
      <c r="F62" s="63">
        <f t="shared" si="1"/>
        <v>5.0280413487613291</v>
      </c>
      <c r="G62" s="63">
        <f t="shared" si="1"/>
        <v>5.9877149883697616</v>
      </c>
      <c r="H62" s="63">
        <f t="shared" si="1"/>
        <v>5.520611284553719</v>
      </c>
      <c r="I62" s="63">
        <f t="shared" si="1"/>
        <v>5.233025019557827</v>
      </c>
      <c r="J62" s="4">
        <f t="shared" si="1"/>
        <v>5.0280413487613291</v>
      </c>
      <c r="K62" s="4">
        <f t="shared" si="1"/>
        <v>4.8701457940123589</v>
      </c>
      <c r="L62" s="12">
        <f>$N62*L$61^$O62</f>
        <v>4.7424898108766858</v>
      </c>
      <c r="M62" s="28" t="s">
        <v>286</v>
      </c>
      <c r="N62">
        <v>9.2100000000000009</v>
      </c>
      <c r="O62">
        <v>-0.159</v>
      </c>
    </row>
    <row r="63" spans="1:15" ht="15" customHeight="1" x14ac:dyDescent="0.3">
      <c r="B63" s="2" t="s">
        <v>8</v>
      </c>
      <c r="C63" s="63">
        <f>$N63*C$61^$O63</f>
        <v>14.05534095857703</v>
      </c>
      <c r="D63" s="63">
        <f t="shared" si="1"/>
        <v>11.475389403432468</v>
      </c>
      <c r="E63" s="4">
        <f t="shared" si="1"/>
        <v>10.040482916620686</v>
      </c>
      <c r="F63" s="4">
        <f t="shared" si="1"/>
        <v>9.0870778180492753</v>
      </c>
      <c r="G63" s="63">
        <f t="shared" si="1"/>
        <v>14.05534095857703</v>
      </c>
      <c r="H63" s="63">
        <f t="shared" si="1"/>
        <v>11.475389403432468</v>
      </c>
      <c r="I63" s="63">
        <f t="shared" si="1"/>
        <v>10.040482916620686</v>
      </c>
      <c r="J63" s="4">
        <f t="shared" si="1"/>
        <v>9.0870778180492753</v>
      </c>
      <c r="K63" s="4">
        <f>$N63*K$61^$O63</f>
        <v>8.3912300454217892</v>
      </c>
      <c r="L63" s="12">
        <f>$N63*L$61^$O63</f>
        <v>7.8527724409623456</v>
      </c>
      <c r="M63" s="28" t="s">
        <v>286</v>
      </c>
      <c r="N63">
        <v>41.186</v>
      </c>
      <c r="O63">
        <v>-0.39700000000000002</v>
      </c>
    </row>
    <row r="64" spans="1:15" ht="15" customHeight="1" x14ac:dyDescent="0.3">
      <c r="A64" s="231"/>
      <c r="B64" s="6" t="s">
        <v>7</v>
      </c>
      <c r="C64" s="204">
        <f>$N64*C$61^$O64</f>
        <v>19.918006748544872</v>
      </c>
      <c r="D64" s="204">
        <f t="shared" si="1"/>
        <v>15.570938086888626</v>
      </c>
      <c r="E64" s="9">
        <f t="shared" si="1"/>
        <v>13.239789023741148</v>
      </c>
      <c r="F64" s="29"/>
      <c r="G64" s="204">
        <f t="shared" si="1"/>
        <v>19.918006748544872</v>
      </c>
      <c r="H64" s="204">
        <f t="shared" si="1"/>
        <v>15.570938086888626</v>
      </c>
      <c r="I64" s="204">
        <f t="shared" si="1"/>
        <v>13.239789023741148</v>
      </c>
      <c r="J64" s="29" t="s">
        <v>212</v>
      </c>
      <c r="K64" s="238" t="s">
        <v>212</v>
      </c>
      <c r="L64" s="203"/>
      <c r="M64" s="28" t="s">
        <v>286</v>
      </c>
      <c r="N64">
        <v>73.471999999999994</v>
      </c>
      <c r="O64">
        <v>-0.48199999999999998</v>
      </c>
    </row>
    <row r="65" spans="1:13" ht="15" customHeight="1" x14ac:dyDescent="0.3">
      <c r="J65" s="27"/>
      <c r="K65" s="4"/>
      <c r="L65" s="4"/>
      <c r="M65" s="28"/>
    </row>
    <row r="66" spans="1:13" ht="21.75" customHeight="1" x14ac:dyDescent="0.35">
      <c r="A66" s="313" t="s">
        <v>41</v>
      </c>
      <c r="B66" s="314"/>
      <c r="C66" s="310" t="s">
        <v>13</v>
      </c>
      <c r="D66" s="311"/>
      <c r="E66" s="311"/>
      <c r="F66" s="312"/>
      <c r="G66" s="317" t="s">
        <v>14</v>
      </c>
      <c r="H66" s="318"/>
      <c r="I66" s="318"/>
      <c r="J66" s="318"/>
      <c r="K66" s="318"/>
      <c r="L66" s="312"/>
      <c r="M66" t="s">
        <v>60</v>
      </c>
    </row>
    <row r="67" spans="1:13" x14ac:dyDescent="0.3">
      <c r="A67" s="71" t="s">
        <v>27</v>
      </c>
      <c r="B67" s="72" t="s">
        <v>92</v>
      </c>
      <c r="C67" s="21" t="s">
        <v>0</v>
      </c>
      <c r="D67" s="22" t="s">
        <v>1</v>
      </c>
      <c r="E67" s="22" t="s">
        <v>2</v>
      </c>
      <c r="F67" s="23" t="s">
        <v>3</v>
      </c>
      <c r="G67" s="3" t="s">
        <v>0</v>
      </c>
      <c r="H67" s="3" t="s">
        <v>1</v>
      </c>
      <c r="I67" s="3" t="s">
        <v>2</v>
      </c>
      <c r="J67" s="3" t="s">
        <v>3</v>
      </c>
      <c r="K67" s="3" t="s">
        <v>4</v>
      </c>
      <c r="L67" s="23" t="s">
        <v>302</v>
      </c>
      <c r="M67" t="s">
        <v>43</v>
      </c>
    </row>
    <row r="68" spans="1:13" x14ac:dyDescent="0.3">
      <c r="A68" s="36" t="s">
        <v>6</v>
      </c>
      <c r="B68" s="37" t="s">
        <v>34</v>
      </c>
      <c r="C68" s="38" t="s">
        <v>17</v>
      </c>
      <c r="D68" s="38" t="s">
        <v>16</v>
      </c>
      <c r="E68" s="38" t="s">
        <v>18</v>
      </c>
      <c r="F68" s="38" t="s">
        <v>18</v>
      </c>
      <c r="G68" s="38" t="s">
        <v>17</v>
      </c>
      <c r="H68" s="38" t="s">
        <v>16</v>
      </c>
      <c r="I68" s="38" t="s">
        <v>18</v>
      </c>
      <c r="J68" s="38" t="s">
        <v>18</v>
      </c>
      <c r="K68" s="38" t="s">
        <v>19</v>
      </c>
      <c r="L68" s="43"/>
      <c r="M68" s="33" t="s">
        <v>69</v>
      </c>
    </row>
    <row r="69" spans="1:13" x14ac:dyDescent="0.3">
      <c r="A69" s="11"/>
      <c r="B69" s="2" t="s">
        <v>30</v>
      </c>
      <c r="C69" s="4">
        <v>8.9779999999999998</v>
      </c>
      <c r="D69" s="4">
        <v>14.75</v>
      </c>
      <c r="E69" s="40">
        <v>15.493</v>
      </c>
      <c r="F69" s="40">
        <v>15.493</v>
      </c>
      <c r="G69" s="40">
        <v>8.9779999999999998</v>
      </c>
      <c r="H69" s="4">
        <v>6.55</v>
      </c>
      <c r="I69" s="4">
        <v>15.493</v>
      </c>
      <c r="J69" s="4">
        <v>15.493</v>
      </c>
      <c r="K69" s="50">
        <f>J69</f>
        <v>15.493</v>
      </c>
      <c r="L69" s="32"/>
    </row>
    <row r="70" spans="1:13" ht="15" customHeight="1" x14ac:dyDescent="0.3">
      <c r="A70" s="11"/>
      <c r="B70" s="2" t="s">
        <v>25</v>
      </c>
      <c r="C70" s="4">
        <v>23.172999999999998</v>
      </c>
      <c r="D70" s="4">
        <v>26.77</v>
      </c>
      <c r="E70" s="40">
        <v>31.533000000000001</v>
      </c>
      <c r="F70" s="4"/>
      <c r="G70" s="40">
        <v>23.172999999999998</v>
      </c>
      <c r="H70" s="4">
        <v>13.04</v>
      </c>
      <c r="I70" s="4">
        <v>31.533000000000001</v>
      </c>
      <c r="J70" s="4"/>
      <c r="K70" s="31"/>
      <c r="L70" s="32"/>
    </row>
    <row r="71" spans="1:13" x14ac:dyDescent="0.3">
      <c r="A71" s="11"/>
      <c r="B71" s="2" t="s">
        <v>20</v>
      </c>
      <c r="C71" s="4">
        <v>5.43</v>
      </c>
      <c r="D71" s="4">
        <v>6.76</v>
      </c>
      <c r="E71" s="4">
        <v>16.079999999999998</v>
      </c>
      <c r="F71" s="4">
        <v>16.079999999999998</v>
      </c>
      <c r="G71" s="40">
        <v>6.51</v>
      </c>
      <c r="H71" s="40">
        <v>9.7100000000000009</v>
      </c>
      <c r="I71" s="4">
        <v>11.802</v>
      </c>
      <c r="J71" s="4">
        <v>11.802</v>
      </c>
      <c r="K71" s="4">
        <v>7.79</v>
      </c>
      <c r="L71" s="52">
        <f>K71</f>
        <v>7.79</v>
      </c>
    </row>
    <row r="72" spans="1:13" x14ac:dyDescent="0.3">
      <c r="A72" s="11"/>
      <c r="B72" s="2" t="s">
        <v>31</v>
      </c>
      <c r="C72" s="4">
        <v>29.19</v>
      </c>
      <c r="D72" s="4">
        <v>32.426000000000002</v>
      </c>
      <c r="E72" s="4"/>
      <c r="F72" s="31"/>
      <c r="G72" s="40">
        <v>29.184999999999999</v>
      </c>
      <c r="H72" s="40">
        <v>32.426000000000002</v>
      </c>
      <c r="I72" s="4"/>
      <c r="J72" s="31"/>
      <c r="K72" s="31"/>
      <c r="L72" s="32"/>
    </row>
    <row r="73" spans="1:13" x14ac:dyDescent="0.3">
      <c r="A73" s="11"/>
      <c r="B73" s="2"/>
      <c r="C73" s="4"/>
      <c r="D73" s="4"/>
      <c r="E73" s="4"/>
      <c r="F73" s="4"/>
      <c r="G73" s="4"/>
      <c r="H73" s="4"/>
      <c r="I73" s="4"/>
      <c r="J73" s="4"/>
      <c r="K73" s="4"/>
      <c r="L73" s="12"/>
    </row>
    <row r="74" spans="1:13" x14ac:dyDescent="0.3">
      <c r="A74" s="194" t="s">
        <v>39</v>
      </c>
      <c r="B74" s="66" t="s">
        <v>40</v>
      </c>
      <c r="C74" s="1" t="s">
        <v>0</v>
      </c>
      <c r="D74" s="1" t="s">
        <v>1</v>
      </c>
      <c r="E74" s="1" t="s">
        <v>2</v>
      </c>
      <c r="F74" s="1" t="s">
        <v>3</v>
      </c>
      <c r="G74" s="1" t="s">
        <v>0</v>
      </c>
      <c r="H74" s="1" t="s">
        <v>1</v>
      </c>
      <c r="I74" s="1" t="s">
        <v>2</v>
      </c>
      <c r="J74" s="1" t="s">
        <v>3</v>
      </c>
      <c r="K74" s="1" t="s">
        <v>3</v>
      </c>
      <c r="L74" s="43"/>
    </row>
    <row r="75" spans="1:13" x14ac:dyDescent="0.3">
      <c r="A75" s="11"/>
      <c r="B75" s="2" t="s">
        <v>30</v>
      </c>
      <c r="C75" s="4">
        <v>29</v>
      </c>
      <c r="D75" s="4">
        <v>24.55</v>
      </c>
      <c r="E75" s="40">
        <v>17.170000000000002</v>
      </c>
      <c r="F75" s="4"/>
      <c r="G75" s="4"/>
      <c r="H75" s="4">
        <v>19.64</v>
      </c>
      <c r="I75" s="4">
        <v>17.170000000000002</v>
      </c>
      <c r="J75" s="4"/>
      <c r="K75" s="31"/>
      <c r="L75" s="32"/>
    </row>
    <row r="76" spans="1:13" x14ac:dyDescent="0.3">
      <c r="A76" s="11"/>
      <c r="B76" s="2" t="s">
        <v>25</v>
      </c>
      <c r="C76" s="4"/>
      <c r="D76" s="4"/>
      <c r="E76" s="40">
        <v>19.23</v>
      </c>
      <c r="F76" s="4"/>
      <c r="G76" s="4"/>
      <c r="H76" s="4"/>
      <c r="I76" s="4">
        <v>19.23</v>
      </c>
      <c r="J76" s="4"/>
      <c r="K76" s="31"/>
      <c r="L76" s="32"/>
    </row>
    <row r="77" spans="1:13" x14ac:dyDescent="0.3">
      <c r="A77" s="11"/>
      <c r="B77" s="2" t="s">
        <v>20</v>
      </c>
      <c r="C77" s="4">
        <v>22.74</v>
      </c>
      <c r="D77" s="4">
        <v>18.899999999999999</v>
      </c>
      <c r="E77" s="4">
        <v>12.67</v>
      </c>
      <c r="F77" s="40">
        <v>12.3</v>
      </c>
      <c r="G77" s="40">
        <v>22.74</v>
      </c>
      <c r="H77" s="40">
        <v>18.899999999999999</v>
      </c>
      <c r="I77" s="4">
        <v>20</v>
      </c>
      <c r="J77" s="4">
        <v>12.3</v>
      </c>
      <c r="K77" s="4"/>
      <c r="L77" s="12"/>
    </row>
    <row r="78" spans="1:13" x14ac:dyDescent="0.3">
      <c r="A78" s="11"/>
      <c r="B78" s="2" t="s">
        <v>32</v>
      </c>
      <c r="C78" s="4"/>
      <c r="D78" s="4">
        <v>22.52</v>
      </c>
      <c r="E78" s="4"/>
      <c r="F78" s="4"/>
      <c r="G78" s="4"/>
      <c r="H78" s="40">
        <v>22.52</v>
      </c>
      <c r="I78" s="4"/>
      <c r="J78" s="4"/>
      <c r="K78" s="4"/>
      <c r="L78" s="12"/>
    </row>
    <row r="79" spans="1:13" x14ac:dyDescent="0.3">
      <c r="A79" s="11"/>
      <c r="B79" s="2" t="s">
        <v>33</v>
      </c>
      <c r="C79" s="4"/>
      <c r="D79" s="40">
        <v>17.09</v>
      </c>
      <c r="E79" s="4"/>
      <c r="F79" s="4"/>
      <c r="G79" s="4"/>
      <c r="H79" s="4">
        <v>17.09</v>
      </c>
      <c r="I79" s="4"/>
      <c r="J79" s="4"/>
      <c r="K79" s="31"/>
      <c r="L79" s="32"/>
    </row>
    <row r="80" spans="1:13" x14ac:dyDescent="0.3">
      <c r="A80" s="11"/>
      <c r="B80" s="2"/>
      <c r="C80" s="4"/>
      <c r="D80" s="4"/>
      <c r="E80" s="4"/>
      <c r="F80" s="4"/>
      <c r="G80" s="4"/>
      <c r="H80" s="4"/>
      <c r="I80" s="4"/>
      <c r="J80" s="4"/>
      <c r="K80" s="4"/>
      <c r="L80" s="12"/>
    </row>
    <row r="81" spans="1:13" x14ac:dyDescent="0.3">
      <c r="A81" s="42" t="s">
        <v>24</v>
      </c>
      <c r="B81" s="26" t="s">
        <v>36</v>
      </c>
      <c r="C81" s="316" t="s">
        <v>13</v>
      </c>
      <c r="D81" s="316"/>
      <c r="E81" s="316"/>
      <c r="F81" s="316"/>
      <c r="G81" s="316" t="s">
        <v>14</v>
      </c>
      <c r="H81" s="316"/>
      <c r="I81" s="316"/>
      <c r="J81" s="316"/>
      <c r="K81" s="316"/>
      <c r="L81" s="201"/>
    </row>
    <row r="82" spans="1:13" x14ac:dyDescent="0.3">
      <c r="A82" s="11"/>
      <c r="B82" s="2" t="s">
        <v>25</v>
      </c>
      <c r="C82" s="4">
        <v>18.399999999999999</v>
      </c>
      <c r="D82" s="4">
        <v>18.399999999999999</v>
      </c>
      <c r="E82" s="4">
        <v>18.399999999999999</v>
      </c>
      <c r="F82" s="4">
        <v>18.399999999999999</v>
      </c>
      <c r="G82" s="4">
        <v>11.7</v>
      </c>
      <c r="H82" s="4">
        <v>11.7</v>
      </c>
      <c r="I82" s="4">
        <v>11.7</v>
      </c>
      <c r="J82" s="4">
        <v>11.7</v>
      </c>
      <c r="K82" s="31"/>
      <c r="L82" s="32"/>
    </row>
    <row r="83" spans="1:13" x14ac:dyDescent="0.3">
      <c r="A83" s="11"/>
      <c r="B83" s="2"/>
      <c r="C83" s="4"/>
      <c r="D83" s="4"/>
      <c r="E83" s="4"/>
      <c r="F83" s="4"/>
      <c r="G83" s="4"/>
      <c r="H83" s="4"/>
      <c r="I83" s="4"/>
      <c r="J83" s="4"/>
      <c r="K83" s="4"/>
      <c r="L83" s="12"/>
    </row>
    <row r="84" spans="1:13" x14ac:dyDescent="0.3">
      <c r="A84" s="42" t="s">
        <v>47</v>
      </c>
      <c r="B84" s="26" t="s">
        <v>45</v>
      </c>
      <c r="C84" s="1" t="s">
        <v>81</v>
      </c>
      <c r="D84" s="1" t="s">
        <v>56</v>
      </c>
      <c r="E84" s="1" t="s">
        <v>57</v>
      </c>
      <c r="F84" s="1"/>
      <c r="G84" s="1" t="s">
        <v>81</v>
      </c>
      <c r="H84" s="1" t="s">
        <v>56</v>
      </c>
      <c r="I84" s="1" t="s">
        <v>57</v>
      </c>
      <c r="J84" s="1"/>
      <c r="K84" s="1"/>
      <c r="L84" s="43"/>
    </row>
    <row r="85" spans="1:13" x14ac:dyDescent="0.3">
      <c r="A85" s="11"/>
      <c r="B85" s="2" t="s">
        <v>46</v>
      </c>
      <c r="C85" s="4">
        <f>(-0.0488*(15^2))+(1.52*15)+20.58</f>
        <v>32.4</v>
      </c>
      <c r="D85" s="4">
        <f>(-0.0488*(25^2))+(1.52*25)+20.58</f>
        <v>28.079999999999995</v>
      </c>
      <c r="E85" s="4">
        <f>(-0.0488*(35^2))+(1.52*35)+20.58</f>
        <v>14</v>
      </c>
      <c r="F85" s="31"/>
      <c r="G85" s="4">
        <f>(-0.0488*(15^2))+(1.52*15)+20.58</f>
        <v>32.4</v>
      </c>
      <c r="H85" s="4">
        <f>(-0.0488*(25^2))+(1.52*25)+20.58</f>
        <v>28.079999999999995</v>
      </c>
      <c r="I85" s="4">
        <f>(-0.0488*(35^2))+(1.52*35)+20.58</f>
        <v>14</v>
      </c>
      <c r="J85" s="31"/>
      <c r="K85" s="31"/>
      <c r="L85" s="32"/>
      <c r="M85" t="s">
        <v>68</v>
      </c>
    </row>
    <row r="86" spans="1:13" x14ac:dyDescent="0.3">
      <c r="A86" s="11"/>
      <c r="B86" s="2"/>
      <c r="C86" s="4"/>
      <c r="D86" s="4"/>
      <c r="E86" s="4"/>
      <c r="F86" s="4"/>
      <c r="G86" s="4"/>
      <c r="H86" s="4"/>
      <c r="I86" s="4"/>
      <c r="J86" s="4"/>
      <c r="K86" s="4"/>
      <c r="L86" s="12"/>
    </row>
    <row r="87" spans="1:13" x14ac:dyDescent="0.3">
      <c r="A87" s="42" t="s">
        <v>50</v>
      </c>
      <c r="B87" s="26" t="s">
        <v>45</v>
      </c>
      <c r="C87" s="48"/>
      <c r="D87" s="48"/>
      <c r="E87" s="48"/>
      <c r="F87" s="48"/>
      <c r="G87" s="48"/>
      <c r="H87" s="48"/>
      <c r="I87" s="48"/>
      <c r="J87" s="48"/>
      <c r="K87" s="48"/>
      <c r="L87" s="64"/>
      <c r="M87" t="s">
        <v>84</v>
      </c>
    </row>
    <row r="88" spans="1:13" x14ac:dyDescent="0.3">
      <c r="A88" s="11"/>
      <c r="B88" s="2" t="s">
        <v>46</v>
      </c>
      <c r="C88" s="40">
        <v>11.879999999999999</v>
      </c>
      <c r="D88" s="40">
        <v>11.879999999999999</v>
      </c>
      <c r="E88" s="40">
        <v>11.879999999999999</v>
      </c>
      <c r="F88" s="44"/>
      <c r="G88" s="40">
        <v>11.879999999999999</v>
      </c>
      <c r="H88" s="40">
        <v>11.879999999999999</v>
      </c>
      <c r="I88" s="40">
        <v>11.879999999999999</v>
      </c>
      <c r="J88" s="31"/>
      <c r="K88" s="31"/>
      <c r="L88" s="32"/>
    </row>
    <row r="89" spans="1:13" x14ac:dyDescent="0.3">
      <c r="A89" s="11"/>
      <c r="B89" s="2" t="s">
        <v>30</v>
      </c>
      <c r="C89" s="40">
        <v>10.72</v>
      </c>
      <c r="D89" s="40">
        <v>10.72</v>
      </c>
      <c r="E89" s="40">
        <v>10.72</v>
      </c>
      <c r="F89" s="40">
        <v>10.72</v>
      </c>
      <c r="G89" s="40">
        <v>10.72</v>
      </c>
      <c r="H89" s="40">
        <v>10.72</v>
      </c>
      <c r="I89" s="40">
        <v>10.72</v>
      </c>
      <c r="J89" s="40">
        <v>10.72</v>
      </c>
      <c r="K89" s="40">
        <v>10.72</v>
      </c>
      <c r="L89" s="268"/>
    </row>
    <row r="90" spans="1:13" x14ac:dyDescent="0.3">
      <c r="A90" s="11"/>
      <c r="B90" s="2" t="s">
        <v>32</v>
      </c>
      <c r="C90" s="40">
        <v>10.92</v>
      </c>
      <c r="D90" s="40">
        <v>10.92</v>
      </c>
      <c r="E90" s="40">
        <v>10.92</v>
      </c>
      <c r="F90" s="40">
        <v>10.92</v>
      </c>
      <c r="G90" s="40">
        <v>10.92</v>
      </c>
      <c r="H90" s="40">
        <v>10.92</v>
      </c>
      <c r="I90" s="40">
        <v>10.92</v>
      </c>
      <c r="J90" s="40">
        <v>10.92</v>
      </c>
      <c r="K90" s="40">
        <v>10.92</v>
      </c>
      <c r="L90" s="49">
        <f>K90</f>
        <v>10.92</v>
      </c>
    </row>
    <row r="91" spans="1:13" x14ac:dyDescent="0.3">
      <c r="A91" s="11"/>
      <c r="B91" s="2" t="s">
        <v>25</v>
      </c>
      <c r="C91" s="40">
        <v>19.78</v>
      </c>
      <c r="D91" s="40">
        <v>19.78</v>
      </c>
      <c r="E91" s="40"/>
      <c r="F91" s="4"/>
      <c r="G91" s="40">
        <v>19.78</v>
      </c>
      <c r="H91" s="40">
        <v>19.78</v>
      </c>
      <c r="I91" s="4"/>
      <c r="J91" s="4"/>
      <c r="K91" s="31"/>
      <c r="L91" s="32"/>
      <c r="M91" t="s">
        <v>96</v>
      </c>
    </row>
    <row r="92" spans="1:13" x14ac:dyDescent="0.3">
      <c r="A92" s="11"/>
      <c r="B92" s="2"/>
      <c r="C92" s="40"/>
      <c r="D92" s="40"/>
      <c r="E92" s="40"/>
      <c r="F92" s="4"/>
      <c r="G92" s="40"/>
      <c r="H92" s="40"/>
      <c r="I92" s="4"/>
      <c r="J92" s="4"/>
      <c r="K92" s="4"/>
      <c r="L92" s="12"/>
    </row>
    <row r="93" spans="1:13" x14ac:dyDescent="0.3">
      <c r="A93" s="194" t="s">
        <v>183</v>
      </c>
      <c r="B93" s="66" t="s">
        <v>184</v>
      </c>
      <c r="C93" s="185"/>
      <c r="D93" s="185"/>
      <c r="E93" s="185"/>
      <c r="F93" s="185"/>
      <c r="G93" s="185"/>
      <c r="H93" s="185"/>
      <c r="I93" s="185"/>
      <c r="J93" s="185"/>
      <c r="K93" s="185"/>
      <c r="L93" s="186"/>
      <c r="M93" t="s">
        <v>185</v>
      </c>
    </row>
    <row r="94" spans="1:13" x14ac:dyDescent="0.3">
      <c r="A94" s="191"/>
      <c r="B94" s="192" t="s">
        <v>25</v>
      </c>
      <c r="C94" s="50">
        <v>30.2</v>
      </c>
      <c r="D94" s="50">
        <v>30.2</v>
      </c>
      <c r="E94" s="50"/>
      <c r="F94" s="50"/>
      <c r="G94" s="50">
        <v>30.2</v>
      </c>
      <c r="H94" s="50">
        <v>30.2</v>
      </c>
      <c r="I94" s="50"/>
      <c r="J94" s="50"/>
      <c r="K94" s="51"/>
      <c r="L94" s="39"/>
      <c r="M94" t="s">
        <v>229</v>
      </c>
    </row>
    <row r="95" spans="1:13" x14ac:dyDescent="0.3">
      <c r="A95" s="191"/>
      <c r="B95" s="192" t="s">
        <v>31</v>
      </c>
      <c r="C95" s="50">
        <v>25</v>
      </c>
      <c r="D95" s="50">
        <v>25</v>
      </c>
      <c r="E95" s="50"/>
      <c r="F95" s="51"/>
      <c r="G95" s="50">
        <v>25</v>
      </c>
      <c r="H95" s="50">
        <v>25</v>
      </c>
      <c r="I95" s="50"/>
      <c r="J95" s="51"/>
      <c r="K95" s="51"/>
      <c r="L95" s="39"/>
      <c r="M95" t="s">
        <v>229</v>
      </c>
    </row>
    <row r="96" spans="1:13" x14ac:dyDescent="0.3">
      <c r="A96" s="191"/>
      <c r="B96" s="2" t="s">
        <v>30</v>
      </c>
      <c r="C96" s="50">
        <v>22.8</v>
      </c>
      <c r="D96" s="50">
        <v>22.8</v>
      </c>
      <c r="E96" s="50">
        <v>22.8</v>
      </c>
      <c r="F96" s="50">
        <v>22.8</v>
      </c>
      <c r="G96" s="50">
        <v>22.8</v>
      </c>
      <c r="H96" s="50">
        <v>22.8</v>
      </c>
      <c r="I96" s="50">
        <v>22.8</v>
      </c>
      <c r="J96" s="50">
        <v>22.8</v>
      </c>
      <c r="K96" s="51"/>
      <c r="L96" s="39"/>
      <c r="M96" t="s">
        <v>229</v>
      </c>
    </row>
    <row r="97" spans="1:13" x14ac:dyDescent="0.3">
      <c r="A97" s="191"/>
      <c r="B97" s="2" t="s">
        <v>186</v>
      </c>
      <c r="C97" s="50">
        <v>22.6</v>
      </c>
      <c r="D97" s="50">
        <v>22.6</v>
      </c>
      <c r="E97" s="50"/>
      <c r="F97" s="51"/>
      <c r="G97" s="50">
        <v>22.6</v>
      </c>
      <c r="H97" s="50">
        <v>22.6</v>
      </c>
      <c r="I97" s="50"/>
      <c r="J97" s="50"/>
      <c r="K97" s="51"/>
      <c r="L97" s="39"/>
    </row>
    <row r="98" spans="1:13" x14ac:dyDescent="0.3">
      <c r="A98" s="191"/>
      <c r="B98" s="2" t="s">
        <v>46</v>
      </c>
      <c r="C98" s="50">
        <v>17.899999999999999</v>
      </c>
      <c r="D98" s="50">
        <v>17.899999999999999</v>
      </c>
      <c r="E98" s="50"/>
      <c r="F98" s="51"/>
      <c r="G98" s="50">
        <v>17.899999999999999</v>
      </c>
      <c r="H98" s="50">
        <v>17.899999999999999</v>
      </c>
      <c r="I98" s="50"/>
      <c r="J98" s="51"/>
      <c r="K98" s="51"/>
      <c r="L98" s="39"/>
    </row>
    <row r="99" spans="1:13" x14ac:dyDescent="0.3">
      <c r="A99" s="191"/>
      <c r="B99" s="2" t="s">
        <v>187</v>
      </c>
      <c r="C99" s="50">
        <v>15</v>
      </c>
      <c r="D99" s="50">
        <v>15</v>
      </c>
      <c r="E99" s="50"/>
      <c r="F99" s="51"/>
      <c r="G99" s="50">
        <v>15</v>
      </c>
      <c r="H99" s="50">
        <v>15</v>
      </c>
      <c r="I99" s="50"/>
      <c r="J99" s="51"/>
      <c r="K99" s="51"/>
      <c r="L99" s="39"/>
    </row>
    <row r="100" spans="1:13" x14ac:dyDescent="0.3">
      <c r="A100" s="191"/>
      <c r="B100" s="2" t="s">
        <v>127</v>
      </c>
      <c r="C100" s="50">
        <v>9.5</v>
      </c>
      <c r="D100" s="50">
        <v>9.5</v>
      </c>
      <c r="E100" s="50">
        <v>9.5</v>
      </c>
      <c r="F100" s="50">
        <v>9.5</v>
      </c>
      <c r="G100" s="50">
        <v>9.5</v>
      </c>
      <c r="H100" s="50">
        <v>9.5</v>
      </c>
      <c r="I100" s="50">
        <v>9.5</v>
      </c>
      <c r="J100" s="50">
        <v>9.5</v>
      </c>
      <c r="K100" s="50">
        <v>9.5</v>
      </c>
      <c r="L100" s="52">
        <f>K100</f>
        <v>9.5</v>
      </c>
      <c r="M100" t="s">
        <v>229</v>
      </c>
    </row>
    <row r="101" spans="1:13" x14ac:dyDescent="0.3">
      <c r="A101" s="11"/>
      <c r="B101" s="2"/>
      <c r="C101" s="53"/>
      <c r="D101" s="53"/>
      <c r="E101" s="53"/>
      <c r="F101" s="53"/>
      <c r="G101" s="53"/>
      <c r="H101" s="53"/>
      <c r="I101" s="53"/>
      <c r="J101" s="53"/>
      <c r="K101" s="4"/>
      <c r="L101" s="12"/>
    </row>
    <row r="102" spans="1:13" x14ac:dyDescent="0.3">
      <c r="A102" s="42" t="s">
        <v>28</v>
      </c>
      <c r="B102" s="26" t="s">
        <v>38</v>
      </c>
      <c r="C102" s="1" t="s">
        <v>0</v>
      </c>
      <c r="D102" s="1" t="s">
        <v>1</v>
      </c>
      <c r="E102" s="1" t="s">
        <v>2</v>
      </c>
      <c r="F102" s="1" t="s">
        <v>3</v>
      </c>
      <c r="G102" s="1" t="s">
        <v>0</v>
      </c>
      <c r="H102" s="1" t="s">
        <v>1</v>
      </c>
      <c r="I102" s="1" t="s">
        <v>2</v>
      </c>
      <c r="J102" s="1" t="s">
        <v>3</v>
      </c>
      <c r="K102" s="1" t="s">
        <v>4</v>
      </c>
      <c r="L102" s="43"/>
      <c r="M102" t="s">
        <v>83</v>
      </c>
    </row>
    <row r="103" spans="1:13" x14ac:dyDescent="0.3">
      <c r="A103" s="11"/>
      <c r="B103" s="2" t="s">
        <v>30</v>
      </c>
      <c r="C103" s="40">
        <v>12.2</v>
      </c>
      <c r="D103" s="40">
        <v>12.2</v>
      </c>
      <c r="E103" s="40"/>
      <c r="F103" s="40"/>
      <c r="G103" s="40">
        <v>12.2</v>
      </c>
      <c r="H103" s="40">
        <v>12.2</v>
      </c>
      <c r="I103" s="40"/>
      <c r="J103" s="4"/>
      <c r="K103" s="4"/>
      <c r="L103" s="32"/>
    </row>
    <row r="104" spans="1:13" x14ac:dyDescent="0.3">
      <c r="A104" s="11"/>
      <c r="B104" s="2" t="s">
        <v>25</v>
      </c>
      <c r="C104" s="40">
        <v>22.9</v>
      </c>
      <c r="D104" s="40">
        <v>22.9</v>
      </c>
      <c r="E104" s="40"/>
      <c r="F104" s="40"/>
      <c r="G104" s="40">
        <v>22.9</v>
      </c>
      <c r="H104" s="40">
        <v>22.9</v>
      </c>
      <c r="I104" s="40"/>
      <c r="J104" s="4"/>
      <c r="K104" s="31"/>
      <c r="L104" s="32"/>
    </row>
    <row r="105" spans="1:13" x14ac:dyDescent="0.3">
      <c r="A105" s="11"/>
      <c r="B105" s="2" t="s">
        <v>20</v>
      </c>
      <c r="C105" s="40"/>
      <c r="D105" s="40">
        <v>10.1</v>
      </c>
      <c r="E105" s="40">
        <v>10.1</v>
      </c>
      <c r="F105" s="40"/>
      <c r="G105" s="40"/>
      <c r="H105" s="40">
        <v>10.1</v>
      </c>
      <c r="I105" s="40">
        <v>10.1</v>
      </c>
      <c r="J105" s="4"/>
      <c r="K105" s="50"/>
      <c r="L105" s="12"/>
    </row>
    <row r="106" spans="1:13" x14ac:dyDescent="0.3">
      <c r="A106" s="11"/>
      <c r="B106" s="2" t="s">
        <v>31</v>
      </c>
      <c r="C106" s="40">
        <f>(21.6+23.6)/2</f>
        <v>22.6</v>
      </c>
      <c r="D106" s="40"/>
      <c r="E106" s="40"/>
      <c r="F106" s="44"/>
      <c r="G106" s="40">
        <f>(21.6+23.6)/2</f>
        <v>22.6</v>
      </c>
      <c r="H106" s="40"/>
      <c r="I106" s="40"/>
      <c r="J106" s="31"/>
      <c r="K106" s="31"/>
      <c r="L106" s="32"/>
    </row>
    <row r="107" spans="1:13" x14ac:dyDescent="0.3">
      <c r="A107" s="11"/>
      <c r="B107" s="2" t="s">
        <v>32</v>
      </c>
      <c r="C107" s="40">
        <v>13.5</v>
      </c>
      <c r="D107" s="40">
        <v>13.5</v>
      </c>
      <c r="E107" s="40">
        <v>13.5</v>
      </c>
      <c r="F107" s="40"/>
      <c r="G107" s="40">
        <v>13.5</v>
      </c>
      <c r="H107" s="40">
        <v>13.5</v>
      </c>
      <c r="I107" s="40">
        <v>13.5</v>
      </c>
      <c r="J107" s="4"/>
      <c r="K107" s="4"/>
      <c r="L107" s="12"/>
    </row>
    <row r="108" spans="1:13" x14ac:dyDescent="0.3">
      <c r="A108" s="11"/>
      <c r="B108" s="2" t="s">
        <v>33</v>
      </c>
      <c r="C108" s="40">
        <v>39.299999999999997</v>
      </c>
      <c r="D108" s="40"/>
      <c r="E108" s="40"/>
      <c r="F108" s="40"/>
      <c r="G108" s="40">
        <v>39.299999999999997</v>
      </c>
      <c r="H108" s="4"/>
      <c r="I108" s="40"/>
      <c r="J108" s="4"/>
      <c r="K108" s="31"/>
      <c r="L108" s="32"/>
    </row>
    <row r="109" spans="1:13" x14ac:dyDescent="0.3">
      <c r="A109" s="11"/>
      <c r="B109" s="2" t="s">
        <v>73</v>
      </c>
      <c r="C109" s="40">
        <v>7.1</v>
      </c>
      <c r="D109" s="40">
        <v>7.1</v>
      </c>
      <c r="E109" s="44"/>
      <c r="F109" s="44"/>
      <c r="G109" s="40">
        <v>7.1</v>
      </c>
      <c r="H109" s="40">
        <v>7.1</v>
      </c>
      <c r="I109" s="40"/>
      <c r="J109" s="31"/>
      <c r="K109" s="31"/>
      <c r="L109" s="32"/>
    </row>
    <row r="110" spans="1:13" x14ac:dyDescent="0.3">
      <c r="A110" s="11"/>
      <c r="B110" s="2" t="s">
        <v>74</v>
      </c>
      <c r="C110" s="40">
        <v>15.5</v>
      </c>
      <c r="D110" s="40">
        <v>15.5</v>
      </c>
      <c r="E110" s="40"/>
      <c r="F110" s="44"/>
      <c r="G110" s="40">
        <v>15.5</v>
      </c>
      <c r="H110" s="40">
        <v>15.5</v>
      </c>
      <c r="I110" s="40"/>
      <c r="J110" s="31"/>
      <c r="K110" s="31"/>
      <c r="L110" s="32"/>
    </row>
    <row r="111" spans="1:13" x14ac:dyDescent="0.3">
      <c r="A111" s="11"/>
      <c r="B111" s="2" t="s">
        <v>75</v>
      </c>
      <c r="C111" s="40">
        <v>12.9</v>
      </c>
      <c r="D111" s="40">
        <v>12.9</v>
      </c>
      <c r="E111" s="40"/>
      <c r="F111" s="44"/>
      <c r="G111" s="40">
        <v>12.9</v>
      </c>
      <c r="H111" s="40">
        <v>12.9</v>
      </c>
      <c r="I111" s="40"/>
      <c r="J111" s="31"/>
      <c r="K111" s="31"/>
      <c r="L111" s="32"/>
    </row>
    <row r="112" spans="1:13" x14ac:dyDescent="0.3">
      <c r="A112" s="11"/>
      <c r="B112" s="2" t="s">
        <v>76</v>
      </c>
      <c r="C112" s="40">
        <v>17.45</v>
      </c>
      <c r="D112" s="40">
        <v>17.45</v>
      </c>
      <c r="E112" s="40"/>
      <c r="F112" s="44"/>
      <c r="G112" s="40">
        <v>17.45</v>
      </c>
      <c r="H112" s="40">
        <v>17.45</v>
      </c>
      <c r="I112" s="40"/>
      <c r="J112" s="31"/>
      <c r="K112" s="31"/>
      <c r="L112" s="32"/>
    </row>
    <row r="113" spans="1:14" x14ac:dyDescent="0.3">
      <c r="A113" s="11"/>
      <c r="B113" s="2" t="s">
        <v>77</v>
      </c>
      <c r="C113" s="40">
        <f>AVERAGE(20.1, 16.7)</f>
        <v>18.399999999999999</v>
      </c>
      <c r="D113" s="40">
        <f>AVERAGE(20.1, 16.7)</f>
        <v>18.399999999999999</v>
      </c>
      <c r="E113" s="40"/>
      <c r="F113" s="44"/>
      <c r="G113" s="40">
        <f>AVERAGE(20.1, 16.7)</f>
        <v>18.399999999999999</v>
      </c>
      <c r="H113" s="40">
        <f>AVERAGE(20.1, 16.7)</f>
        <v>18.399999999999999</v>
      </c>
      <c r="I113" s="40"/>
      <c r="J113" s="31"/>
      <c r="K113" s="31"/>
      <c r="L113" s="32"/>
    </row>
    <row r="114" spans="1:14" x14ac:dyDescent="0.3">
      <c r="A114" s="11"/>
      <c r="B114" s="2" t="s">
        <v>78</v>
      </c>
      <c r="C114" s="40">
        <v>45</v>
      </c>
      <c r="D114" s="40">
        <v>45</v>
      </c>
      <c r="E114" s="44"/>
      <c r="F114" s="44"/>
      <c r="G114" s="40">
        <v>45</v>
      </c>
      <c r="H114" s="40">
        <v>45</v>
      </c>
      <c r="I114" s="44"/>
      <c r="J114" s="31"/>
      <c r="K114" s="31"/>
      <c r="L114" s="32"/>
    </row>
    <row r="115" spans="1:14" x14ac:dyDescent="0.3">
      <c r="A115" s="11"/>
      <c r="B115" s="2"/>
      <c r="C115" s="40"/>
      <c r="D115" s="40"/>
      <c r="E115" s="40"/>
      <c r="F115" s="40"/>
      <c r="G115" s="40"/>
      <c r="H115" s="40"/>
      <c r="I115" s="40"/>
      <c r="J115" s="4"/>
      <c r="K115" s="4"/>
      <c r="L115" s="12"/>
    </row>
    <row r="116" spans="1:14" x14ac:dyDescent="0.3">
      <c r="A116" s="42" t="s">
        <v>177</v>
      </c>
      <c r="B116" s="26" t="s">
        <v>38</v>
      </c>
      <c r="C116" s="187" t="s">
        <v>178</v>
      </c>
      <c r="D116" s="187" t="s">
        <v>179</v>
      </c>
      <c r="E116" s="187"/>
      <c r="F116" s="187"/>
      <c r="G116" s="187" t="s">
        <v>178</v>
      </c>
      <c r="H116" s="187" t="s">
        <v>179</v>
      </c>
      <c r="I116" s="187"/>
      <c r="J116" s="187"/>
      <c r="K116" s="187"/>
      <c r="L116" s="188"/>
    </row>
    <row r="117" spans="1:14" x14ac:dyDescent="0.3">
      <c r="A117" s="11"/>
      <c r="B117" s="2" t="s">
        <v>76</v>
      </c>
      <c r="C117" s="211">
        <f>15058/600</f>
        <v>25.096666666666668</v>
      </c>
      <c r="D117" s="211">
        <f>15585/600</f>
        <v>25.975000000000001</v>
      </c>
      <c r="E117" s="211"/>
      <c r="F117" s="212"/>
      <c r="G117" s="211">
        <f>15058/600</f>
        <v>25.096666666666668</v>
      </c>
      <c r="H117" s="211">
        <f>15585/600</f>
        <v>25.975000000000001</v>
      </c>
      <c r="I117" s="211"/>
      <c r="J117" s="212"/>
      <c r="K117" s="212"/>
      <c r="L117" s="213"/>
      <c r="M117" t="s">
        <v>71</v>
      </c>
      <c r="N117" s="35"/>
    </row>
    <row r="118" spans="1:14" x14ac:dyDescent="0.3">
      <c r="A118" s="11"/>
      <c r="B118" s="2"/>
      <c r="C118" s="208"/>
      <c r="D118" s="208"/>
      <c r="E118" s="208"/>
      <c r="F118" s="208"/>
      <c r="G118" s="208"/>
      <c r="H118" s="208"/>
      <c r="I118" s="208"/>
      <c r="J118" s="208"/>
      <c r="K118" s="208"/>
      <c r="L118" s="214"/>
    </row>
    <row r="119" spans="1:14" x14ac:dyDescent="0.3">
      <c r="A119" s="42" t="s">
        <v>22</v>
      </c>
      <c r="B119" s="26" t="s">
        <v>35</v>
      </c>
      <c r="C119" s="215"/>
      <c r="D119" s="216" t="s">
        <v>11</v>
      </c>
      <c r="E119" s="216" t="s">
        <v>12</v>
      </c>
      <c r="F119" s="216" t="s">
        <v>82</v>
      </c>
      <c r="G119" s="216"/>
      <c r="H119" s="216" t="s">
        <v>11</v>
      </c>
      <c r="I119" s="216" t="s">
        <v>12</v>
      </c>
      <c r="J119" s="216" t="s">
        <v>21</v>
      </c>
      <c r="K119" s="216" t="s">
        <v>21</v>
      </c>
      <c r="L119" s="217"/>
    </row>
    <row r="120" spans="1:14" x14ac:dyDescent="0.3">
      <c r="A120" s="11"/>
      <c r="B120" s="2" t="s">
        <v>20</v>
      </c>
      <c r="C120" s="208"/>
      <c r="D120" s="209">
        <v>17.796666666666667</v>
      </c>
      <c r="E120" s="209">
        <v>15.373333333333333</v>
      </c>
      <c r="F120" s="209">
        <v>12.6</v>
      </c>
      <c r="G120" s="209"/>
      <c r="H120" s="209">
        <v>17.796666666666667</v>
      </c>
      <c r="I120" s="209">
        <v>15.373333333333333</v>
      </c>
      <c r="J120" s="209">
        <v>12.6</v>
      </c>
      <c r="K120" s="286">
        <v>12.6</v>
      </c>
      <c r="L120" s="290">
        <f>K120</f>
        <v>12.6</v>
      </c>
      <c r="M120" t="s">
        <v>71</v>
      </c>
    </row>
    <row r="121" spans="1:14" x14ac:dyDescent="0.3">
      <c r="A121" s="11"/>
      <c r="B121" s="2"/>
      <c r="C121" s="208"/>
      <c r="D121" s="209"/>
      <c r="E121" s="209"/>
      <c r="F121" s="209"/>
      <c r="G121" s="209"/>
      <c r="H121" s="209"/>
      <c r="I121" s="209"/>
      <c r="J121" s="209"/>
      <c r="K121" s="209"/>
      <c r="L121" s="210"/>
    </row>
    <row r="122" spans="1:14" x14ac:dyDescent="0.3">
      <c r="A122" s="11"/>
      <c r="C122" s="208"/>
      <c r="D122" s="218"/>
      <c r="E122" s="218"/>
      <c r="F122" s="218"/>
      <c r="G122" s="218"/>
      <c r="H122" s="218"/>
      <c r="I122" s="218"/>
      <c r="J122" s="218"/>
      <c r="K122" s="218"/>
      <c r="L122" s="219"/>
    </row>
    <row r="123" spans="1:14" x14ac:dyDescent="0.3">
      <c r="A123" s="42" t="s">
        <v>294</v>
      </c>
      <c r="B123" s="26" t="s">
        <v>45</v>
      </c>
      <c r="C123" s="220" t="s">
        <v>0</v>
      </c>
      <c r="D123" s="220" t="s">
        <v>1</v>
      </c>
      <c r="E123" s="220" t="s">
        <v>2</v>
      </c>
      <c r="F123" s="220" t="s">
        <v>3</v>
      </c>
      <c r="G123" s="220" t="s">
        <v>0</v>
      </c>
      <c r="H123" s="220" t="s">
        <v>1</v>
      </c>
      <c r="I123" s="220" t="s">
        <v>2</v>
      </c>
      <c r="J123" s="220" t="s">
        <v>3</v>
      </c>
      <c r="K123" s="220" t="s">
        <v>4</v>
      </c>
      <c r="L123" s="221"/>
      <c r="M123" s="33" t="s">
        <v>224</v>
      </c>
    </row>
    <row r="124" spans="1:14" x14ac:dyDescent="0.3">
      <c r="A124" s="11"/>
      <c r="B124" s="2" t="s">
        <v>31</v>
      </c>
      <c r="C124" s="208">
        <v>29.283181818181813</v>
      </c>
      <c r="D124" s="209">
        <v>24.405000000000001</v>
      </c>
      <c r="E124" s="209"/>
      <c r="F124" s="222"/>
      <c r="G124" s="209">
        <v>23.557199999999998</v>
      </c>
      <c r="H124" s="209">
        <v>23.734999999999996</v>
      </c>
      <c r="I124" s="209" t="s">
        <v>212</v>
      </c>
      <c r="J124" s="222"/>
      <c r="K124" s="222"/>
      <c r="L124" s="223"/>
    </row>
    <row r="125" spans="1:14" x14ac:dyDescent="0.3">
      <c r="A125" s="11"/>
      <c r="B125" s="2" t="s">
        <v>25</v>
      </c>
      <c r="C125" s="208">
        <v>33.477647058823521</v>
      </c>
      <c r="D125" s="209">
        <v>30.725999999999999</v>
      </c>
      <c r="E125" s="209"/>
      <c r="F125" s="209"/>
      <c r="G125" s="209" t="s">
        <v>212</v>
      </c>
      <c r="H125" s="209">
        <v>25.665384615384617</v>
      </c>
      <c r="I125" s="209" t="s">
        <v>212</v>
      </c>
      <c r="J125" s="209"/>
      <c r="K125" s="222"/>
      <c r="L125" s="223"/>
    </row>
    <row r="126" spans="1:14" x14ac:dyDescent="0.3">
      <c r="A126" s="11"/>
      <c r="B126" s="2" t="s">
        <v>30</v>
      </c>
      <c r="C126" s="208">
        <v>25.169375000000002</v>
      </c>
      <c r="D126" s="209">
        <v>20.911666666666665</v>
      </c>
      <c r="E126" s="209"/>
      <c r="F126" s="209"/>
      <c r="G126" s="224">
        <v>25.169375000000002</v>
      </c>
      <c r="H126" s="209">
        <v>16.494000000000003</v>
      </c>
      <c r="I126" s="209" t="s">
        <v>212</v>
      </c>
      <c r="J126" s="209"/>
      <c r="K126" s="222"/>
      <c r="L126" s="223"/>
    </row>
    <row r="127" spans="1:14" x14ac:dyDescent="0.3">
      <c r="A127" s="11"/>
      <c r="B127" s="2" t="s">
        <v>127</v>
      </c>
      <c r="C127" s="208">
        <v>12.41</v>
      </c>
      <c r="D127" s="209">
        <v>8.2766666666666655</v>
      </c>
      <c r="E127" s="209">
        <v>3.98</v>
      </c>
      <c r="F127" s="225">
        <v>3.98</v>
      </c>
      <c r="G127" s="224">
        <v>12.41</v>
      </c>
      <c r="H127" s="209">
        <v>6.3299999999999992</v>
      </c>
      <c r="I127" s="209">
        <v>3.98</v>
      </c>
      <c r="J127" s="225">
        <v>3.98</v>
      </c>
      <c r="K127" s="225">
        <v>3.98</v>
      </c>
      <c r="L127" s="227">
        <f>K127</f>
        <v>3.98</v>
      </c>
    </row>
    <row r="128" spans="1:14" x14ac:dyDescent="0.3">
      <c r="A128" s="11"/>
      <c r="B128" s="26" t="s">
        <v>209</v>
      </c>
      <c r="C128" s="220" t="s">
        <v>0</v>
      </c>
      <c r="D128" s="220" t="s">
        <v>1</v>
      </c>
      <c r="E128" s="220" t="s">
        <v>2</v>
      </c>
      <c r="F128" s="220" t="s">
        <v>3</v>
      </c>
      <c r="G128" s="220" t="s">
        <v>0</v>
      </c>
      <c r="H128" s="220" t="s">
        <v>1</v>
      </c>
      <c r="I128" s="220" t="s">
        <v>2</v>
      </c>
      <c r="J128" s="220" t="s">
        <v>3</v>
      </c>
      <c r="K128" s="220" t="s">
        <v>4</v>
      </c>
      <c r="L128" s="221"/>
      <c r="M128" s="33" t="s">
        <v>224</v>
      </c>
    </row>
    <row r="129" spans="1:13" x14ac:dyDescent="0.3">
      <c r="A129" s="11"/>
      <c r="B129" s="2" t="s">
        <v>30</v>
      </c>
      <c r="C129" s="208">
        <v>28.196562958125</v>
      </c>
      <c r="D129" s="209">
        <v>17.802708697499998</v>
      </c>
      <c r="E129" s="209" t="s">
        <v>212</v>
      </c>
      <c r="F129" s="209"/>
      <c r="G129" s="209">
        <v>23.189658520000002</v>
      </c>
      <c r="H129" s="209">
        <v>18.590324079999998</v>
      </c>
      <c r="I129" s="209" t="s">
        <v>212</v>
      </c>
      <c r="J129" s="209"/>
      <c r="K129" s="209"/>
      <c r="L129" s="223"/>
    </row>
    <row r="130" spans="1:13" x14ac:dyDescent="0.3">
      <c r="A130" s="11"/>
      <c r="B130" s="2" t="s">
        <v>20</v>
      </c>
      <c r="C130" s="208">
        <v>25.11904762</v>
      </c>
      <c r="D130" s="209" t="s">
        <v>212</v>
      </c>
      <c r="E130" s="209">
        <v>11.53846154</v>
      </c>
      <c r="F130" s="209"/>
      <c r="G130" s="209">
        <v>26.055501929999998</v>
      </c>
      <c r="H130" s="209" t="s">
        <v>212</v>
      </c>
      <c r="I130" s="209">
        <v>11.53846154</v>
      </c>
      <c r="J130" s="209"/>
      <c r="K130" s="209"/>
      <c r="L130" s="210"/>
    </row>
    <row r="131" spans="1:13" x14ac:dyDescent="0.3">
      <c r="A131" s="11"/>
      <c r="B131" s="2" t="s">
        <v>164</v>
      </c>
      <c r="C131" s="208">
        <v>35.427153627500005</v>
      </c>
      <c r="D131" s="209">
        <v>32.554783792000002</v>
      </c>
      <c r="E131" s="209">
        <v>27.008670952500001</v>
      </c>
      <c r="F131" s="225">
        <v>27.008670952500001</v>
      </c>
      <c r="G131" s="209">
        <v>35.3974563875</v>
      </c>
      <c r="H131" s="209">
        <v>30.659562019000003</v>
      </c>
      <c r="I131" s="209">
        <v>27.253315373333333</v>
      </c>
      <c r="J131" s="225">
        <v>27.253315373333333</v>
      </c>
      <c r="K131" s="225">
        <v>27.253315373333333</v>
      </c>
      <c r="L131" s="227">
        <f>K131</f>
        <v>27.253315373333333</v>
      </c>
    </row>
    <row r="132" spans="1:13" x14ac:dyDescent="0.3">
      <c r="A132" s="11"/>
      <c r="B132" s="2" t="s">
        <v>134</v>
      </c>
      <c r="C132" s="208">
        <v>39.744096075000002</v>
      </c>
      <c r="D132" s="209">
        <v>30.268421966315799</v>
      </c>
      <c r="E132" s="209" t="s">
        <v>212</v>
      </c>
      <c r="F132" s="222"/>
      <c r="G132" s="209">
        <v>39.504593503333332</v>
      </c>
      <c r="H132" s="209">
        <v>28.748167087499997</v>
      </c>
      <c r="I132" s="209">
        <v>31.31868132</v>
      </c>
      <c r="J132" s="222"/>
      <c r="K132" s="222"/>
      <c r="L132" s="223"/>
    </row>
    <row r="133" spans="1:13" x14ac:dyDescent="0.3">
      <c r="A133" s="11"/>
      <c r="B133" s="2" t="s">
        <v>135</v>
      </c>
      <c r="C133" s="208">
        <v>25.395540115454541</v>
      </c>
      <c r="D133" s="209">
        <v>18.772066788181817</v>
      </c>
      <c r="E133" s="209" t="s">
        <v>212</v>
      </c>
      <c r="F133" s="222"/>
      <c r="G133" s="209">
        <v>25.710785907999998</v>
      </c>
      <c r="H133" s="209">
        <v>18.874394555833334</v>
      </c>
      <c r="I133" s="209" t="s">
        <v>212</v>
      </c>
      <c r="J133" s="222"/>
      <c r="K133" s="222"/>
      <c r="L133" s="223"/>
    </row>
    <row r="134" spans="1:13" x14ac:dyDescent="0.3">
      <c r="A134" s="11"/>
      <c r="B134" s="2" t="s">
        <v>136</v>
      </c>
      <c r="C134" s="208">
        <v>53.813570049333322</v>
      </c>
      <c r="D134" s="209">
        <v>46.560580430833333</v>
      </c>
      <c r="E134" s="222" t="s">
        <v>212</v>
      </c>
      <c r="F134" s="222"/>
      <c r="G134" s="209">
        <v>53.715285512499989</v>
      </c>
      <c r="H134" s="209">
        <v>47.58415173214285</v>
      </c>
      <c r="I134" s="222" t="s">
        <v>212</v>
      </c>
      <c r="J134" s="222"/>
      <c r="K134" s="222"/>
      <c r="L134" s="223"/>
    </row>
    <row r="135" spans="1:13" x14ac:dyDescent="0.3">
      <c r="A135" s="11"/>
      <c r="B135" s="26" t="s">
        <v>217</v>
      </c>
      <c r="C135" s="1" t="s">
        <v>0</v>
      </c>
      <c r="D135" s="1" t="s">
        <v>1</v>
      </c>
      <c r="E135" s="1" t="s">
        <v>2</v>
      </c>
      <c r="F135" s="1" t="s">
        <v>3</v>
      </c>
      <c r="G135" s="1" t="s">
        <v>0</v>
      </c>
      <c r="H135" s="1" t="s">
        <v>1</v>
      </c>
      <c r="I135" s="1" t="s">
        <v>2</v>
      </c>
      <c r="J135" s="1" t="s">
        <v>3</v>
      </c>
      <c r="K135" s="1" t="s">
        <v>4</v>
      </c>
      <c r="L135" s="43"/>
      <c r="M135" t="s">
        <v>210</v>
      </c>
    </row>
    <row r="136" spans="1:13" x14ac:dyDescent="0.3">
      <c r="A136" s="11"/>
      <c r="B136" s="2" t="s">
        <v>218</v>
      </c>
      <c r="C136" s="209">
        <v>13.304375221749998</v>
      </c>
      <c r="D136" s="209">
        <v>8.6828936663333334</v>
      </c>
      <c r="E136" s="209">
        <v>7.1447256105000001</v>
      </c>
      <c r="F136" s="209">
        <v>1.8296500920000001</v>
      </c>
      <c r="G136" s="225">
        <v>13.304375221749998</v>
      </c>
      <c r="H136" s="225">
        <v>8.6828936663333334</v>
      </c>
      <c r="I136" s="225">
        <v>7.1447256105000001</v>
      </c>
      <c r="J136" s="209">
        <v>1.8296500920000001</v>
      </c>
      <c r="K136" s="225">
        <v>1.8296500920000001</v>
      </c>
      <c r="L136" s="227">
        <v>1.8296500920000001</v>
      </c>
    </row>
    <row r="137" spans="1:13" x14ac:dyDescent="0.3">
      <c r="A137" s="11"/>
      <c r="B137" s="2" t="s">
        <v>219</v>
      </c>
      <c r="C137" s="209">
        <v>30.785152319999998</v>
      </c>
      <c r="D137" s="209">
        <v>20.892438006153846</v>
      </c>
      <c r="E137" s="209">
        <v>30.333333329999999</v>
      </c>
      <c r="F137" s="209" t="s">
        <v>212</v>
      </c>
      <c r="G137" s="209" t="s">
        <v>212</v>
      </c>
      <c r="H137" s="209">
        <v>21.970918515000001</v>
      </c>
      <c r="I137" s="209">
        <v>22.612996353333333</v>
      </c>
      <c r="J137" s="209" t="s">
        <v>212</v>
      </c>
      <c r="K137" s="209" t="s">
        <v>212</v>
      </c>
      <c r="L137" s="223"/>
    </row>
    <row r="138" spans="1:13" x14ac:dyDescent="0.3">
      <c r="A138" s="11"/>
      <c r="B138" s="2" t="s">
        <v>73</v>
      </c>
      <c r="C138" s="209">
        <v>19.520390488384614</v>
      </c>
      <c r="D138" s="209">
        <v>14.25414365</v>
      </c>
      <c r="E138" s="209" t="s">
        <v>212</v>
      </c>
      <c r="F138" s="209" t="s">
        <v>212</v>
      </c>
      <c r="G138" s="209" t="s">
        <v>212</v>
      </c>
      <c r="H138" s="209">
        <v>11.277688053000002</v>
      </c>
      <c r="I138" s="209" t="s">
        <v>212</v>
      </c>
      <c r="J138" s="209" t="s">
        <v>212</v>
      </c>
      <c r="K138" s="209" t="s">
        <v>212</v>
      </c>
      <c r="L138" s="223"/>
    </row>
    <row r="139" spans="1:13" x14ac:dyDescent="0.3">
      <c r="A139" s="11"/>
      <c r="B139" s="2" t="s">
        <v>220</v>
      </c>
      <c r="C139" s="209">
        <v>27.622727202727273</v>
      </c>
      <c r="D139" s="209">
        <v>27.800956697500002</v>
      </c>
      <c r="E139" s="209" t="s">
        <v>212</v>
      </c>
      <c r="F139" s="209" t="s">
        <v>212</v>
      </c>
      <c r="G139" s="209">
        <v>29.643633066666666</v>
      </c>
      <c r="H139" s="209">
        <v>22.035300496666665</v>
      </c>
      <c r="I139" s="209" t="s">
        <v>212</v>
      </c>
      <c r="J139" s="209" t="s">
        <v>212</v>
      </c>
      <c r="K139" s="209" t="s">
        <v>212</v>
      </c>
      <c r="L139" s="223"/>
    </row>
    <row r="140" spans="1:13" x14ac:dyDescent="0.3">
      <c r="A140" s="11"/>
      <c r="B140" s="2" t="s">
        <v>74</v>
      </c>
      <c r="C140" s="209">
        <v>15.255146883785715</v>
      </c>
      <c r="D140" s="209">
        <v>21.531239338571428</v>
      </c>
      <c r="E140" s="209" t="s">
        <v>212</v>
      </c>
      <c r="F140" s="222" t="s">
        <v>212</v>
      </c>
      <c r="G140" s="209" t="s">
        <v>212</v>
      </c>
      <c r="H140" s="209">
        <v>20.188176500000001</v>
      </c>
      <c r="I140" s="209" t="s">
        <v>212</v>
      </c>
      <c r="J140" s="222" t="s">
        <v>212</v>
      </c>
      <c r="K140" s="222" t="s">
        <v>212</v>
      </c>
      <c r="L140" s="223"/>
    </row>
    <row r="141" spans="1:13" x14ac:dyDescent="0.3">
      <c r="A141" s="11"/>
      <c r="B141" s="2" t="s">
        <v>221</v>
      </c>
      <c r="C141" s="208">
        <v>23.886509025384619</v>
      </c>
      <c r="D141" s="209">
        <v>19.169906462</v>
      </c>
      <c r="E141" s="209">
        <v>17.879032260000002</v>
      </c>
      <c r="F141" s="286">
        <f>E141</f>
        <v>17.879032260000002</v>
      </c>
      <c r="G141" s="224">
        <v>23.886509025384619</v>
      </c>
      <c r="H141" s="225">
        <v>19.169906462</v>
      </c>
      <c r="I141" s="209">
        <v>17.214977621599999</v>
      </c>
      <c r="J141" s="286">
        <f>I141</f>
        <v>17.214977621599999</v>
      </c>
      <c r="K141" s="209" t="s">
        <v>212</v>
      </c>
      <c r="L141" s="223"/>
    </row>
    <row r="142" spans="1:13" x14ac:dyDescent="0.3">
      <c r="A142" s="11"/>
      <c r="B142" s="2" t="s">
        <v>30</v>
      </c>
      <c r="C142" s="208">
        <v>29.156417258749997</v>
      </c>
      <c r="D142" s="209">
        <v>24.476863606296302</v>
      </c>
      <c r="E142" s="209" t="s">
        <v>212</v>
      </c>
      <c r="F142" s="209" t="s">
        <v>212</v>
      </c>
      <c r="G142" s="224">
        <v>29.156417258749997</v>
      </c>
      <c r="H142" s="209">
        <v>22.35691298916667</v>
      </c>
      <c r="I142" s="209">
        <v>21.651622623333335</v>
      </c>
      <c r="J142" s="209" t="s">
        <v>212</v>
      </c>
      <c r="K142" s="209" t="s">
        <v>212</v>
      </c>
      <c r="L142" s="223"/>
    </row>
    <row r="143" spans="1:13" x14ac:dyDescent="0.3">
      <c r="A143" s="11"/>
      <c r="B143" s="2" t="s">
        <v>32</v>
      </c>
      <c r="C143" s="208">
        <v>15.55555556</v>
      </c>
      <c r="D143" s="209">
        <v>13.631675874999999</v>
      </c>
      <c r="E143" s="209">
        <v>8.6147542360000013</v>
      </c>
      <c r="F143" s="209" t="s">
        <v>212</v>
      </c>
      <c r="G143" s="209" t="s">
        <v>212</v>
      </c>
      <c r="H143" s="209" t="s">
        <v>212</v>
      </c>
      <c r="I143" s="209" t="s">
        <v>212</v>
      </c>
      <c r="J143" s="209" t="s">
        <v>212</v>
      </c>
      <c r="K143" s="209" t="s">
        <v>212</v>
      </c>
      <c r="L143" s="210"/>
    </row>
    <row r="144" spans="1:13" x14ac:dyDescent="0.3">
      <c r="A144" s="11"/>
      <c r="B144" s="2" t="s">
        <v>33</v>
      </c>
      <c r="C144" s="208">
        <v>63.460778982500003</v>
      </c>
      <c r="D144" s="209" t="s">
        <v>212</v>
      </c>
      <c r="E144" s="209" t="s">
        <v>212</v>
      </c>
      <c r="F144" s="209" t="s">
        <v>212</v>
      </c>
      <c r="G144" s="209">
        <v>46.764985002499998</v>
      </c>
      <c r="H144" s="209">
        <v>44.830745944</v>
      </c>
      <c r="I144" s="209" t="s">
        <v>212</v>
      </c>
      <c r="J144" s="209" t="s">
        <v>212</v>
      </c>
      <c r="K144" s="209" t="s">
        <v>212</v>
      </c>
      <c r="L144" s="223"/>
    </row>
    <row r="145" spans="1:16" x14ac:dyDescent="0.3">
      <c r="A145" s="11"/>
      <c r="B145" s="2" t="s">
        <v>75</v>
      </c>
      <c r="C145" s="208">
        <v>24.891854808333335</v>
      </c>
      <c r="D145" s="209">
        <v>27.521576190714285</v>
      </c>
      <c r="E145" s="225">
        <v>31.333333329999999</v>
      </c>
      <c r="F145" s="209" t="s">
        <v>212</v>
      </c>
      <c r="G145" s="209">
        <v>15</v>
      </c>
      <c r="H145" s="209">
        <v>17.678609800666667</v>
      </c>
      <c r="I145" s="209">
        <v>31.333333329999999</v>
      </c>
      <c r="J145" s="209" t="s">
        <v>212</v>
      </c>
      <c r="K145" s="209" t="s">
        <v>212</v>
      </c>
      <c r="L145" s="223"/>
    </row>
    <row r="146" spans="1:16" x14ac:dyDescent="0.3">
      <c r="A146" s="11"/>
      <c r="B146" s="2" t="s">
        <v>31</v>
      </c>
      <c r="C146" s="208">
        <v>29.510320351250002</v>
      </c>
      <c r="D146" s="209" t="s">
        <v>212</v>
      </c>
      <c r="E146" s="209" t="s">
        <v>212</v>
      </c>
      <c r="F146" s="222" t="s">
        <v>212</v>
      </c>
      <c r="G146" s="209">
        <v>25.38461538</v>
      </c>
      <c r="H146" s="209">
        <v>20.747059618235291</v>
      </c>
      <c r="I146" s="209" t="s">
        <v>212</v>
      </c>
      <c r="J146" s="222" t="s">
        <v>212</v>
      </c>
      <c r="K146" s="222" t="s">
        <v>212</v>
      </c>
      <c r="L146" s="223"/>
    </row>
    <row r="147" spans="1:16" x14ac:dyDescent="0.3">
      <c r="A147" s="11"/>
      <c r="B147" s="2" t="s">
        <v>76</v>
      </c>
      <c r="C147" s="208">
        <v>29.15835118</v>
      </c>
      <c r="D147" s="209">
        <v>21.162024441666667</v>
      </c>
      <c r="E147" s="225">
        <v>20.249101435000004</v>
      </c>
      <c r="F147" s="226"/>
      <c r="G147" s="209" t="s">
        <v>212</v>
      </c>
      <c r="H147" s="209">
        <v>19.139947526692307</v>
      </c>
      <c r="I147" s="209">
        <v>20.249101435000004</v>
      </c>
      <c r="J147" s="226"/>
      <c r="K147" s="222"/>
      <c r="L147" s="223"/>
    </row>
    <row r="148" spans="1:16" x14ac:dyDescent="0.3">
      <c r="A148" s="11"/>
      <c r="B148" s="2" t="s">
        <v>20</v>
      </c>
      <c r="C148" s="208">
        <v>21.896174863333332</v>
      </c>
      <c r="D148" s="209">
        <v>16.136077398076921</v>
      </c>
      <c r="E148" s="209">
        <v>11.256783024624998</v>
      </c>
      <c r="F148" s="209">
        <v>7.6666666670000003</v>
      </c>
      <c r="G148" s="209" t="s">
        <v>212</v>
      </c>
      <c r="H148" s="209" t="s">
        <v>212</v>
      </c>
      <c r="I148" s="209">
        <v>12.85714286</v>
      </c>
      <c r="J148" s="209">
        <v>8.1963627992500001</v>
      </c>
      <c r="K148" s="209">
        <v>7.9891304344999998</v>
      </c>
      <c r="L148" s="290">
        <f>K148</f>
        <v>7.9891304344999998</v>
      </c>
    </row>
    <row r="149" spans="1:16" x14ac:dyDescent="0.3">
      <c r="A149" s="11"/>
      <c r="B149" s="2" t="s">
        <v>77</v>
      </c>
      <c r="C149" s="208">
        <v>23.807839666086949</v>
      </c>
      <c r="D149" s="209">
        <v>22.067859896999998</v>
      </c>
      <c r="E149" s="225">
        <v>19.293116815000001</v>
      </c>
      <c r="F149" s="222" t="s">
        <v>212</v>
      </c>
      <c r="G149" s="209" t="s">
        <v>212</v>
      </c>
      <c r="H149" s="209">
        <v>20.307688096250004</v>
      </c>
      <c r="I149" s="209">
        <v>19.293116815000001</v>
      </c>
      <c r="J149" s="222" t="s">
        <v>212</v>
      </c>
      <c r="K149" s="222" t="s">
        <v>212</v>
      </c>
      <c r="L149" s="223"/>
    </row>
    <row r="150" spans="1:16" x14ac:dyDescent="0.3">
      <c r="A150" s="11"/>
      <c r="B150" s="2" t="s">
        <v>78</v>
      </c>
      <c r="C150" s="208">
        <v>67.897364318333331</v>
      </c>
      <c r="D150" s="208" t="s">
        <v>212</v>
      </c>
      <c r="E150" s="271" t="s">
        <v>212</v>
      </c>
      <c r="F150" s="271" t="s">
        <v>212</v>
      </c>
      <c r="G150" s="208">
        <v>58.052217946666666</v>
      </c>
      <c r="H150" s="208">
        <v>56.309128142222221</v>
      </c>
      <c r="I150" s="271" t="s">
        <v>212</v>
      </c>
      <c r="J150" s="271" t="s">
        <v>212</v>
      </c>
      <c r="K150" s="271" t="s">
        <v>212</v>
      </c>
      <c r="L150" s="272"/>
    </row>
    <row r="151" spans="1:16" x14ac:dyDescent="0.3">
      <c r="A151" s="11"/>
      <c r="B151" s="2"/>
      <c r="C151" s="208"/>
      <c r="D151" s="208"/>
      <c r="E151" s="208"/>
      <c r="F151" s="208"/>
      <c r="G151" s="208"/>
      <c r="H151" s="208"/>
      <c r="I151" s="208"/>
      <c r="J151" s="208"/>
      <c r="K151" s="208"/>
      <c r="L151" s="214"/>
    </row>
    <row r="152" spans="1:16" x14ac:dyDescent="0.3">
      <c r="A152" s="194" t="s">
        <v>295</v>
      </c>
      <c r="B152" s="26" t="s">
        <v>300</v>
      </c>
      <c r="C152" s="1">
        <v>15</v>
      </c>
      <c r="D152" s="1">
        <v>25</v>
      </c>
      <c r="E152" s="1">
        <v>35</v>
      </c>
      <c r="F152" s="1">
        <v>45</v>
      </c>
      <c r="G152" s="1">
        <v>15</v>
      </c>
      <c r="H152" s="1">
        <v>25</v>
      </c>
      <c r="I152" s="1">
        <v>35</v>
      </c>
      <c r="J152" s="1">
        <v>45</v>
      </c>
      <c r="K152" s="1">
        <v>55</v>
      </c>
      <c r="L152" s="43">
        <v>65</v>
      </c>
      <c r="M152" s="33" t="s">
        <v>283</v>
      </c>
      <c r="N152" s="1" t="s">
        <v>169</v>
      </c>
      <c r="O152" s="1" t="s">
        <v>170</v>
      </c>
      <c r="P152" s="3"/>
    </row>
    <row r="153" spans="1:16" x14ac:dyDescent="0.3">
      <c r="A153" s="11"/>
      <c r="B153" s="2" t="s">
        <v>134</v>
      </c>
      <c r="C153" s="63">
        <f>$N153*C$152^$O153</f>
        <v>37.428332537881069</v>
      </c>
      <c r="D153" s="63">
        <f t="shared" ref="D153:L159" si="2">$N153*D$152^$O153</f>
        <v>32.639614029207429</v>
      </c>
      <c r="E153" s="63">
        <f t="shared" si="2"/>
        <v>29.825154420588952</v>
      </c>
      <c r="F153" s="189"/>
      <c r="G153" s="63">
        <f t="shared" si="2"/>
        <v>37.428332537881069</v>
      </c>
      <c r="H153" s="63">
        <f t="shared" si="2"/>
        <v>32.639614029207429</v>
      </c>
      <c r="I153" s="63">
        <f t="shared" si="2"/>
        <v>29.825154420588952</v>
      </c>
      <c r="J153" s="31"/>
      <c r="K153" s="31"/>
      <c r="L153" s="32"/>
      <c r="M153" s="28" t="s">
        <v>286</v>
      </c>
      <c r="N153">
        <v>77.337999999999994</v>
      </c>
      <c r="O153">
        <v>-0.26800000000000002</v>
      </c>
    </row>
    <row r="154" spans="1:16" x14ac:dyDescent="0.3">
      <c r="A154" s="11"/>
      <c r="B154" s="2" t="s">
        <v>135</v>
      </c>
      <c r="C154" s="208">
        <f t="shared" ref="C154:C159" si="3">$N154*C$152^$O154</f>
        <v>24.276566365077379</v>
      </c>
      <c r="D154" s="208">
        <f t="shared" si="2"/>
        <v>18.546970015398806</v>
      </c>
      <c r="E154" s="208">
        <f t="shared" si="2"/>
        <v>15.53329159626974</v>
      </c>
      <c r="F154" s="208">
        <f t="shared" si="2"/>
        <v>13.606435261508006</v>
      </c>
      <c r="G154" s="208">
        <f t="shared" si="2"/>
        <v>24.276566365077379</v>
      </c>
      <c r="H154" s="208">
        <f t="shared" si="2"/>
        <v>18.546970015398806</v>
      </c>
      <c r="I154" s="208">
        <f>$N154*I$152^$O154</f>
        <v>15.53329159626974</v>
      </c>
      <c r="J154" s="208">
        <f>$N154*J$152^$O154</f>
        <v>13.606435261508006</v>
      </c>
      <c r="K154" s="271"/>
      <c r="L154" s="272"/>
      <c r="M154" s="28" t="s">
        <v>286</v>
      </c>
      <c r="N154">
        <v>101.155</v>
      </c>
      <c r="O154">
        <v>-0.52700000000000002</v>
      </c>
    </row>
    <row r="155" spans="1:16" x14ac:dyDescent="0.3">
      <c r="A155" s="11"/>
      <c r="B155" s="2" t="s">
        <v>31</v>
      </c>
      <c r="C155" s="208">
        <f t="shared" si="3"/>
        <v>27.299888580858081</v>
      </c>
      <c r="D155" s="208">
        <f t="shared" si="2"/>
        <v>17.212004606935164</v>
      </c>
      <c r="E155" s="271"/>
      <c r="F155" s="271"/>
      <c r="G155" s="208">
        <f t="shared" si="2"/>
        <v>27.299888580858081</v>
      </c>
      <c r="H155" s="208">
        <f t="shared" si="2"/>
        <v>17.212004606935164</v>
      </c>
      <c r="I155" s="271"/>
      <c r="J155" s="271"/>
      <c r="K155" s="271"/>
      <c r="L155" s="272"/>
      <c r="M155" s="28" t="s">
        <v>286</v>
      </c>
      <c r="N155">
        <v>314.899</v>
      </c>
      <c r="O155">
        <v>-0.90300000000000002</v>
      </c>
    </row>
    <row r="156" spans="1:16" x14ac:dyDescent="0.3">
      <c r="A156" s="11"/>
      <c r="B156" s="2" t="s">
        <v>25</v>
      </c>
      <c r="C156" s="208">
        <f t="shared" si="3"/>
        <v>30.040129716720305</v>
      </c>
      <c r="D156" s="208">
        <f t="shared" si="2"/>
        <v>22.440171289547319</v>
      </c>
      <c r="E156" s="208">
        <f t="shared" si="2"/>
        <v>18.517700653631671</v>
      </c>
      <c r="F156" s="208">
        <f t="shared" si="2"/>
        <v>16.042260608345988</v>
      </c>
      <c r="G156" s="208">
        <f t="shared" si="2"/>
        <v>30.040129716720305</v>
      </c>
      <c r="H156" s="208">
        <f t="shared" si="2"/>
        <v>22.440171289547319</v>
      </c>
      <c r="I156" s="208">
        <f t="shared" si="2"/>
        <v>18.517700653631671</v>
      </c>
      <c r="J156" s="208">
        <f t="shared" si="2"/>
        <v>16.042260608345988</v>
      </c>
      <c r="K156" s="271"/>
      <c r="L156" s="272"/>
      <c r="M156" s="28" t="s">
        <v>286</v>
      </c>
      <c r="N156">
        <v>141.01</v>
      </c>
      <c r="O156">
        <v>-0.57099999999999995</v>
      </c>
    </row>
    <row r="157" spans="1:16" x14ac:dyDescent="0.3">
      <c r="A157" s="11"/>
      <c r="B157" s="2" t="s">
        <v>30</v>
      </c>
      <c r="C157" s="208">
        <f t="shared" si="3"/>
        <v>18.10970212253546</v>
      </c>
      <c r="D157" s="208">
        <f t="shared" si="2"/>
        <v>16.911556248749854</v>
      </c>
      <c r="E157" s="208">
        <f t="shared" si="2"/>
        <v>16.165994162869843</v>
      </c>
      <c r="F157" s="208">
        <f t="shared" si="2"/>
        <v>15.630650728177574</v>
      </c>
      <c r="G157" s="208">
        <f t="shared" si="2"/>
        <v>18.10970212253546</v>
      </c>
      <c r="H157" s="208">
        <f t="shared" si="2"/>
        <v>16.911556248749854</v>
      </c>
      <c r="I157" s="208">
        <f t="shared" si="2"/>
        <v>16.165994162869843</v>
      </c>
      <c r="J157" s="208">
        <f>$N157*J$152^$O157</f>
        <v>15.630650728177574</v>
      </c>
      <c r="K157" s="208">
        <f>$N157*K$152^$O157</f>
        <v>15.215945189822303</v>
      </c>
      <c r="L157" s="272"/>
      <c r="M157" s="28" t="s">
        <v>286</v>
      </c>
      <c r="N157">
        <v>26.032</v>
      </c>
      <c r="O157">
        <v>-0.13400000000000001</v>
      </c>
    </row>
    <row r="158" spans="1:16" x14ac:dyDescent="0.3">
      <c r="A158" s="11"/>
      <c r="B158" s="2" t="s">
        <v>164</v>
      </c>
      <c r="C158" s="208">
        <v>16.71</v>
      </c>
      <c r="D158" s="208">
        <v>34.47</v>
      </c>
      <c r="E158" s="208"/>
      <c r="F158" s="208"/>
      <c r="G158" s="208"/>
      <c r="H158" s="208"/>
      <c r="I158" s="208"/>
      <c r="J158" s="208">
        <v>24.5</v>
      </c>
      <c r="K158" s="224">
        <v>24.5</v>
      </c>
      <c r="L158" s="278">
        <f>K158</f>
        <v>24.5</v>
      </c>
      <c r="M158" s="28"/>
    </row>
    <row r="159" spans="1:16" x14ac:dyDescent="0.3">
      <c r="A159" s="11"/>
      <c r="B159" s="2" t="s">
        <v>20</v>
      </c>
      <c r="C159" s="208">
        <f t="shared" si="3"/>
        <v>15.931333143231173</v>
      </c>
      <c r="D159" s="208">
        <f t="shared" si="2"/>
        <v>13.695720658840489</v>
      </c>
      <c r="E159" s="208">
        <f t="shared" si="2"/>
        <v>12.397410762492768</v>
      </c>
      <c r="F159" s="208">
        <f t="shared" si="2"/>
        <v>11.508645903134216</v>
      </c>
      <c r="G159" s="208">
        <f t="shared" si="2"/>
        <v>15.931333143231173</v>
      </c>
      <c r="H159" s="208">
        <f t="shared" si="2"/>
        <v>13.695720658840489</v>
      </c>
      <c r="I159" s="208">
        <f t="shared" si="2"/>
        <v>12.397410762492768</v>
      </c>
      <c r="J159" s="208">
        <f t="shared" si="2"/>
        <v>11.508645903134216</v>
      </c>
      <c r="K159" s="208">
        <f t="shared" si="2"/>
        <v>10.844955540190337</v>
      </c>
      <c r="L159" s="214">
        <f t="shared" si="2"/>
        <v>10.321736750202868</v>
      </c>
      <c r="M159" s="28" t="s">
        <v>286</v>
      </c>
      <c r="N159">
        <v>35.512</v>
      </c>
      <c r="O159">
        <v>-0.29599999999999999</v>
      </c>
    </row>
    <row r="160" spans="1:16" x14ac:dyDescent="0.3">
      <c r="A160" s="5"/>
      <c r="B160" s="273" t="s">
        <v>32</v>
      </c>
      <c r="C160" s="287" t="s">
        <v>212</v>
      </c>
      <c r="D160" s="287" t="s">
        <v>212</v>
      </c>
      <c r="E160" s="287">
        <v>11.833333333333332</v>
      </c>
      <c r="F160" s="287">
        <v>10.677777777777777</v>
      </c>
      <c r="G160" s="288"/>
      <c r="H160" s="288"/>
      <c r="I160" s="288"/>
      <c r="J160" s="288"/>
      <c r="K160" s="288"/>
      <c r="L160" s="289"/>
      <c r="M160" s="28"/>
    </row>
    <row r="161" spans="1:13" x14ac:dyDescent="0.3">
      <c r="B161" s="2"/>
      <c r="C161" s="208"/>
      <c r="D161" s="208"/>
      <c r="E161" s="208"/>
      <c r="F161" s="208"/>
      <c r="G161" s="208"/>
      <c r="H161" s="208"/>
      <c r="I161" s="208"/>
      <c r="J161" s="208"/>
      <c r="K161" s="208"/>
      <c r="L161" s="208"/>
    </row>
    <row r="162" spans="1:13" x14ac:dyDescent="0.3">
      <c r="B162" s="2"/>
      <c r="C162" s="310" t="s">
        <v>13</v>
      </c>
      <c r="D162" s="311"/>
      <c r="E162" s="311"/>
      <c r="F162" s="312"/>
      <c r="G162" s="317" t="s">
        <v>14</v>
      </c>
      <c r="H162" s="318"/>
      <c r="I162" s="318"/>
      <c r="J162" s="318"/>
      <c r="K162" s="318"/>
      <c r="L162" s="319"/>
    </row>
    <row r="163" spans="1:13" x14ac:dyDescent="0.3">
      <c r="A163" s="65" t="s">
        <v>42</v>
      </c>
      <c r="C163" s="21" t="s">
        <v>0</v>
      </c>
      <c r="D163" s="22" t="s">
        <v>1</v>
      </c>
      <c r="E163" s="22" t="s">
        <v>2</v>
      </c>
      <c r="F163" s="23" t="s">
        <v>3</v>
      </c>
      <c r="G163" s="3" t="s">
        <v>0</v>
      </c>
      <c r="H163" s="3" t="s">
        <v>1</v>
      </c>
      <c r="I163" s="3" t="s">
        <v>2</v>
      </c>
      <c r="J163" s="3" t="s">
        <v>3</v>
      </c>
      <c r="K163" s="3" t="s">
        <v>4</v>
      </c>
      <c r="L163" s="13" t="s">
        <v>302</v>
      </c>
    </row>
    <row r="164" spans="1:13" x14ac:dyDescent="0.3">
      <c r="A164" s="56" t="s">
        <v>53</v>
      </c>
      <c r="B164" s="57" t="s">
        <v>88</v>
      </c>
      <c r="C164" s="7">
        <f>AVERAGE(C36,C16,C23,C28,C49,C56,C62)</f>
        <v>6.0710080535616271</v>
      </c>
      <c r="D164" s="7">
        <f t="shared" ref="D164:K164" si="4">AVERAGE(D36,D16,D23,D28,D49,D56,D62)</f>
        <v>5.3925003228137314</v>
      </c>
      <c r="E164" s="7">
        <f t="shared" si="4"/>
        <v>5.4509310331026484</v>
      </c>
      <c r="F164" s="7">
        <f t="shared" si="4"/>
        <v>5.6939566515435551</v>
      </c>
      <c r="G164" s="7">
        <f t="shared" si="4"/>
        <v>5.0419287470924399</v>
      </c>
      <c r="H164" s="7">
        <f t="shared" si="4"/>
        <v>4.9251528211384299</v>
      </c>
      <c r="I164" s="7">
        <f t="shared" si="4"/>
        <v>5.5438375032596374</v>
      </c>
      <c r="J164" s="7">
        <f t="shared" si="4"/>
        <v>5.0414984287278086</v>
      </c>
      <c r="K164" s="7">
        <f t="shared" si="4"/>
        <v>5.4304660568909497</v>
      </c>
      <c r="L164" s="12">
        <f>AVERAGE(L36,L16,L23,L28,L49,L56,L62)</f>
        <v>5.4091900597016709</v>
      </c>
    </row>
    <row r="165" spans="1:13" x14ac:dyDescent="0.3">
      <c r="A165" s="58"/>
      <c r="B165" s="59" t="s">
        <v>87</v>
      </c>
      <c r="C165" s="4">
        <f>AVERAGE(C6,C10,C40,C20,C34,C14,C24,C43,C29,C53,C58,C63)</f>
        <v>10.261122803290599</v>
      </c>
      <c r="D165" s="4">
        <f t="shared" ref="D165:K165" si="5">AVERAGE(D6,D10,D40,D20,D34,D14,D24,D43,D29,D53,D58,D63)</f>
        <v>9.2397849812415576</v>
      </c>
      <c r="E165" s="4">
        <f t="shared" si="5"/>
        <v>8.6188854548711671</v>
      </c>
      <c r="F165" s="4">
        <f t="shared" si="5"/>
        <v>8.0909868507014497</v>
      </c>
      <c r="G165" s="4">
        <f t="shared" si="5"/>
        <v>10.182834588096172</v>
      </c>
      <c r="H165" s="4">
        <f t="shared" si="5"/>
        <v>9.3755971706014645</v>
      </c>
      <c r="I165" s="4">
        <f t="shared" si="5"/>
        <v>8.1006978057591308</v>
      </c>
      <c r="J165" s="4">
        <f t="shared" si="5"/>
        <v>7.3746470551650871</v>
      </c>
      <c r="K165" s="4">
        <f t="shared" si="5"/>
        <v>7.0073664274277245</v>
      </c>
      <c r="L165" s="12">
        <f>AVERAGE(L6,L10,L40,L20,L34,L14,L24,L43,L29,L53,L58,L63)</f>
        <v>6.5517456358270572</v>
      </c>
    </row>
    <row r="166" spans="1:13" x14ac:dyDescent="0.3">
      <c r="A166" s="58"/>
      <c r="B166" s="59" t="s">
        <v>214</v>
      </c>
      <c r="C166" s="4">
        <f>AVERAGE(C5,C9,C39,C19,C25,C33,C13,C30,C50,C54,C59,C35,C57,C64)</f>
        <v>17.908115433558979</v>
      </c>
      <c r="D166" s="4">
        <f t="shared" ref="D166:J166" si="6">AVERAGE(D5,D9,D39,D19,D25,D33,D13,D30,D50,D54,D59,D35,D57,D64)</f>
        <v>15.102009625774052</v>
      </c>
      <c r="E166" s="4">
        <f t="shared" si="6"/>
        <v>15.919478431963023</v>
      </c>
      <c r="F166" s="31"/>
      <c r="G166" s="4">
        <f t="shared" si="6"/>
        <v>15.235861841804081</v>
      </c>
      <c r="H166" s="4">
        <f t="shared" si="6"/>
        <v>13.313577283055025</v>
      </c>
      <c r="I166" s="4">
        <f t="shared" si="6"/>
        <v>15.919478431963023</v>
      </c>
      <c r="J166" s="4">
        <f t="shared" si="6"/>
        <v>15.3</v>
      </c>
      <c r="K166" s="31"/>
      <c r="L166" s="32"/>
    </row>
    <row r="167" spans="1:13" x14ac:dyDescent="0.3">
      <c r="A167" s="58"/>
      <c r="B167" s="59" t="s">
        <v>215</v>
      </c>
      <c r="C167" s="4">
        <f>AVERAGE(C15,C52)</f>
        <v>27.222876603750002</v>
      </c>
      <c r="D167" s="4">
        <f t="shared" ref="D167:I167" si="7">AVERAGE(D15,D52)</f>
        <v>14.506516196433331</v>
      </c>
      <c r="E167" s="4">
        <f t="shared" si="7"/>
        <v>21.67</v>
      </c>
      <c r="F167" s="31"/>
      <c r="G167" s="4">
        <f t="shared" si="7"/>
        <v>26.360813299166669</v>
      </c>
      <c r="H167" s="4">
        <f t="shared" si="7"/>
        <v>14.143704061968748</v>
      </c>
      <c r="I167" s="4">
        <f t="shared" si="7"/>
        <v>21.67</v>
      </c>
      <c r="J167" s="31"/>
      <c r="K167" s="31"/>
      <c r="L167" s="32"/>
    </row>
    <row r="168" spans="1:13" x14ac:dyDescent="0.3">
      <c r="A168" s="58"/>
      <c r="B168" s="59" t="s">
        <v>216</v>
      </c>
      <c r="C168" s="4">
        <f>AVERAGE(C46)</f>
        <v>16.818333333333332</v>
      </c>
      <c r="D168" s="4">
        <f t="shared" ref="D168:J168" si="8">AVERAGE(D46)</f>
        <v>16.818333333333332</v>
      </c>
      <c r="E168" s="4">
        <f t="shared" si="8"/>
        <v>15.528333333333334</v>
      </c>
      <c r="F168" s="4">
        <f t="shared" si="8"/>
        <v>15.023333333333333</v>
      </c>
      <c r="G168" s="4">
        <f t="shared" si="8"/>
        <v>16.818333333333332</v>
      </c>
      <c r="H168" s="4">
        <f t="shared" si="8"/>
        <v>16.818333333333332</v>
      </c>
      <c r="I168" s="4">
        <f t="shared" si="8"/>
        <v>15.528333333333334</v>
      </c>
      <c r="J168" s="4">
        <f t="shared" si="8"/>
        <v>15.023333333333333</v>
      </c>
      <c r="K168" s="9">
        <f>K165</f>
        <v>7.0073664274277245</v>
      </c>
      <c r="L168" s="30"/>
      <c r="M168" s="2" t="s">
        <v>176</v>
      </c>
    </row>
    <row r="169" spans="1:13" x14ac:dyDescent="0.3">
      <c r="A169" s="56" t="s">
        <v>79</v>
      </c>
      <c r="B169" s="57" t="s">
        <v>122</v>
      </c>
      <c r="C169" s="7">
        <f>AVERAGE(C71,C120,C105,C77,C130,C148,C159)</f>
        <v>18.2233111253129</v>
      </c>
      <c r="D169" s="7">
        <f t="shared" ref="D169:K169" si="9">AVERAGE(D71,D120,D105,D77,D130,D148,D159)</f>
        <v>13.898077453930677</v>
      </c>
      <c r="E169" s="7">
        <f t="shared" si="9"/>
        <v>12.77371266577873</v>
      </c>
      <c r="F169" s="7">
        <f t="shared" si="9"/>
        <v>12.031062514026845</v>
      </c>
      <c r="G169" s="7">
        <f t="shared" si="9"/>
        <v>17.809208768307794</v>
      </c>
      <c r="H169" s="7">
        <f t="shared" si="9"/>
        <v>14.040477465101432</v>
      </c>
      <c r="I169" s="7">
        <f t="shared" si="9"/>
        <v>13.438335499403729</v>
      </c>
      <c r="J169" s="7">
        <f t="shared" si="9"/>
        <v>11.281401740476841</v>
      </c>
      <c r="K169" s="7">
        <f t="shared" si="9"/>
        <v>9.8060214936725849</v>
      </c>
      <c r="L169" s="12">
        <f>AVERAGE(L71,L120,L105,L77,L130,L148,L159)</f>
        <v>9.6752167961757163</v>
      </c>
    </row>
    <row r="170" spans="1:13" x14ac:dyDescent="0.3">
      <c r="A170" s="58"/>
      <c r="B170" s="59" t="s">
        <v>159</v>
      </c>
      <c r="C170" s="4">
        <f>AVERAGE(C78,C107,C90,C143,C160)</f>
        <v>13.325185186666667</v>
      </c>
      <c r="D170" s="4">
        <f t="shared" ref="D170:J170" si="10">AVERAGE(D78,D107,D90,D143,D160)</f>
        <v>15.142918968749999</v>
      </c>
      <c r="E170" s="4">
        <f t="shared" si="10"/>
        <v>11.217021892333335</v>
      </c>
      <c r="F170" s="4">
        <f t="shared" si="10"/>
        <v>10.798888888888889</v>
      </c>
      <c r="G170" s="4">
        <f t="shared" si="10"/>
        <v>12.21</v>
      </c>
      <c r="H170" s="4">
        <f t="shared" si="10"/>
        <v>15.646666666666667</v>
      </c>
      <c r="I170" s="4">
        <f t="shared" si="10"/>
        <v>12.21</v>
      </c>
      <c r="J170" s="4">
        <f t="shared" si="10"/>
        <v>10.92</v>
      </c>
      <c r="K170" s="4">
        <f>AVERAGE(K78,K107,K90,K143,K160)</f>
        <v>10.92</v>
      </c>
      <c r="L170" s="10">
        <f>AVERAGE(L78,L107,L90,L143,L160)</f>
        <v>10.92</v>
      </c>
    </row>
    <row r="171" spans="1:13" x14ac:dyDescent="0.3">
      <c r="A171" s="56" t="s">
        <v>41</v>
      </c>
      <c r="B171" s="57" t="s">
        <v>225</v>
      </c>
      <c r="C171" s="7">
        <f t="shared" ref="C171:K171" si="11">AVERAGE(C136,C127)</f>
        <v>12.857187610874998</v>
      </c>
      <c r="D171" s="7">
        <f t="shared" si="11"/>
        <v>8.4797801664999994</v>
      </c>
      <c r="E171" s="7">
        <f t="shared" si="11"/>
        <v>5.5623628052500003</v>
      </c>
      <c r="F171" s="7">
        <f t="shared" si="11"/>
        <v>2.904825046</v>
      </c>
      <c r="G171" s="7">
        <f t="shared" si="11"/>
        <v>12.857187610874998</v>
      </c>
      <c r="H171" s="7">
        <f t="shared" si="11"/>
        <v>7.5064468331666667</v>
      </c>
      <c r="I171" s="7">
        <f t="shared" si="11"/>
        <v>5.5623628052500003</v>
      </c>
      <c r="J171" s="7">
        <f t="shared" si="11"/>
        <v>2.904825046</v>
      </c>
      <c r="K171" s="7">
        <f t="shared" si="11"/>
        <v>2.904825046</v>
      </c>
      <c r="L171" s="12">
        <f>AVERAGE(L136,L127)</f>
        <v>2.904825046</v>
      </c>
    </row>
    <row r="172" spans="1:13" x14ac:dyDescent="0.3">
      <c r="A172" s="58"/>
      <c r="B172" s="59" t="s">
        <v>222</v>
      </c>
      <c r="C172" s="4">
        <f>AVERAGE(C89,C75,C103,C126,C69,C129,C142,C157)</f>
        <v>20.191257167426308</v>
      </c>
      <c r="D172" s="4">
        <f t="shared" ref="D172:K172" si="12">AVERAGE(D89,D75,D103,D126,D69,D129,D142,D157)</f>
        <v>17.790349402401603</v>
      </c>
      <c r="E172" s="4">
        <f t="shared" si="12"/>
        <v>14.887248540717462</v>
      </c>
      <c r="F172" s="4">
        <f t="shared" si="12"/>
        <v>13.947883576059192</v>
      </c>
      <c r="G172" s="4">
        <f t="shared" si="12"/>
        <v>18.217593271612209</v>
      </c>
      <c r="H172" s="4">
        <f t="shared" si="12"/>
        <v>15.432849164739565</v>
      </c>
      <c r="I172" s="4">
        <f t="shared" si="12"/>
        <v>16.240123357240634</v>
      </c>
      <c r="J172" s="4">
        <f t="shared" si="12"/>
        <v>13.947883576059192</v>
      </c>
      <c r="K172" s="4">
        <f t="shared" si="12"/>
        <v>13.809648396607434</v>
      </c>
      <c r="L172" s="32"/>
    </row>
    <row r="173" spans="1:13" x14ac:dyDescent="0.3">
      <c r="A173" s="62"/>
      <c r="B173" s="59" t="s">
        <v>232</v>
      </c>
      <c r="C173" s="4">
        <f>AVERAGE(C131,C158)</f>
        <v>26.068576813750003</v>
      </c>
      <c r="D173" s="4">
        <f t="shared" ref="D173:K173" si="13">AVERAGE(D131,D158)</f>
        <v>33.512391895999997</v>
      </c>
      <c r="E173" s="4">
        <f t="shared" si="13"/>
        <v>27.008670952500001</v>
      </c>
      <c r="F173" s="4">
        <f t="shared" si="13"/>
        <v>27.008670952500001</v>
      </c>
      <c r="G173" s="4">
        <f t="shared" si="13"/>
        <v>35.3974563875</v>
      </c>
      <c r="H173" s="4">
        <f t="shared" si="13"/>
        <v>30.659562019000003</v>
      </c>
      <c r="I173" s="4">
        <f t="shared" si="13"/>
        <v>27.253315373333333</v>
      </c>
      <c r="J173" s="4">
        <f t="shared" si="13"/>
        <v>25.876657686666668</v>
      </c>
      <c r="K173" s="4">
        <f t="shared" si="13"/>
        <v>25.876657686666668</v>
      </c>
      <c r="L173" s="12">
        <f>AVERAGE(L131,L158)</f>
        <v>25.876657686666668</v>
      </c>
    </row>
    <row r="174" spans="1:13" x14ac:dyDescent="0.3">
      <c r="A174" s="62"/>
      <c r="B174" s="59" t="s">
        <v>230</v>
      </c>
      <c r="C174" s="4">
        <f>AVERAGE(C91,C76,C104,C82,C70,C125,C137,C156)</f>
        <v>25.507989870791977</v>
      </c>
      <c r="D174" s="4">
        <f t="shared" ref="D174:J174" si="14">AVERAGE(D91,D76,D104,D82,D70,D125,D137,D156)</f>
        <v>23.129801327957306</v>
      </c>
      <c r="E174" s="4">
        <f t="shared" si="14"/>
        <v>23.602806796726334</v>
      </c>
      <c r="F174" s="4">
        <f t="shared" si="14"/>
        <v>17.221130304172995</v>
      </c>
      <c r="G174" s="4">
        <f t="shared" si="14"/>
        <v>21.518625943344059</v>
      </c>
      <c r="H174" s="4">
        <f t="shared" si="14"/>
        <v>19.642353488561703</v>
      </c>
      <c r="I174" s="4">
        <f t="shared" si="14"/>
        <v>20.718739401393002</v>
      </c>
      <c r="J174" s="4">
        <f t="shared" si="14"/>
        <v>13.871130304172993</v>
      </c>
      <c r="K174" s="31"/>
      <c r="L174" s="32"/>
    </row>
    <row r="175" spans="1:13" x14ac:dyDescent="0.3">
      <c r="A175" s="62"/>
      <c r="B175" s="59" t="s">
        <v>188</v>
      </c>
      <c r="C175" s="4">
        <f>AVERAGE(C88,C85,C97,C98)</f>
        <v>21.195</v>
      </c>
      <c r="D175" s="4">
        <f t="shared" ref="D175:I175" si="15">AVERAGE(D88,D85,D97,D98)</f>
        <v>20.114999999999998</v>
      </c>
      <c r="E175" s="4">
        <f t="shared" si="15"/>
        <v>12.94</v>
      </c>
      <c r="F175" s="31"/>
      <c r="G175" s="4">
        <f t="shared" si="15"/>
        <v>21.195</v>
      </c>
      <c r="H175" s="4">
        <f t="shared" si="15"/>
        <v>20.114999999999998</v>
      </c>
      <c r="I175" s="4">
        <f t="shared" si="15"/>
        <v>12.94</v>
      </c>
      <c r="J175" s="31"/>
      <c r="K175" s="31"/>
      <c r="L175" s="32"/>
    </row>
    <row r="176" spans="1:13" x14ac:dyDescent="0.3">
      <c r="A176" s="62"/>
      <c r="B176" s="59" t="s">
        <v>231</v>
      </c>
      <c r="C176" s="4">
        <f>AVERAGE(C133,C141,C154)</f>
        <v>24.519538501972182</v>
      </c>
      <c r="D176" s="4">
        <f t="shared" ref="D176:J176" si="16">AVERAGE(D133,D141,D154)</f>
        <v>18.829647755193541</v>
      </c>
      <c r="E176" s="4">
        <f t="shared" si="16"/>
        <v>16.706161928134872</v>
      </c>
      <c r="F176" s="4">
        <f>AVERAGE(F133,F141,F154)</f>
        <v>15.742733760754003</v>
      </c>
      <c r="G176" s="4">
        <f t="shared" si="16"/>
        <v>24.624620432820667</v>
      </c>
      <c r="H176" s="4">
        <f t="shared" si="16"/>
        <v>18.863757011077379</v>
      </c>
      <c r="I176" s="4">
        <f t="shared" si="16"/>
        <v>16.37413460893487</v>
      </c>
      <c r="J176" s="4">
        <f t="shared" si="16"/>
        <v>15.410706441554002</v>
      </c>
      <c r="K176" s="31"/>
      <c r="L176" s="32"/>
    </row>
    <row r="177" spans="1:13" x14ac:dyDescent="0.3">
      <c r="A177" s="62"/>
      <c r="B177" s="59" t="s">
        <v>226</v>
      </c>
      <c r="C177" s="4">
        <f>AVERAGE(C149,C140,C110,C113,C99)</f>
        <v>17.592597309974529</v>
      </c>
      <c r="D177" s="4">
        <f t="shared" ref="D177:I177" si="17">AVERAGE(D149,D140,D110,D113,D99)</f>
        <v>18.499819847114289</v>
      </c>
      <c r="E177" s="4">
        <f t="shared" si="17"/>
        <v>19.293116815000001</v>
      </c>
      <c r="F177" s="4">
        <f>E177</f>
        <v>19.293116815000001</v>
      </c>
      <c r="G177" s="4">
        <f t="shared" si="17"/>
        <v>16.3</v>
      </c>
      <c r="H177" s="4">
        <f t="shared" si="17"/>
        <v>17.879172919249999</v>
      </c>
      <c r="I177" s="4">
        <f t="shared" si="17"/>
        <v>19.293116815000001</v>
      </c>
      <c r="J177" s="4">
        <f>I177</f>
        <v>19.293116815000001</v>
      </c>
      <c r="K177" s="31"/>
      <c r="L177" s="32"/>
    </row>
    <row r="178" spans="1:13" x14ac:dyDescent="0.3">
      <c r="A178" s="62"/>
      <c r="B178" s="59" t="s">
        <v>228</v>
      </c>
      <c r="C178" s="4">
        <f>AVERAGE(C147,C144,C138,C117,C112,C109,C108,C79)</f>
        <v>28.726598188221608</v>
      </c>
      <c r="D178" s="4">
        <f t="shared" ref="D178:I178" si="18">AVERAGE(D147,D144,D138,D117,D112,D109,D108,D79)</f>
        <v>17.17186134861111</v>
      </c>
      <c r="E178" s="4">
        <f t="shared" si="18"/>
        <v>20.249101435000004</v>
      </c>
      <c r="F178" s="31"/>
      <c r="G178" s="4">
        <f t="shared" si="18"/>
        <v>27.142330333833332</v>
      </c>
      <c r="H178" s="4">
        <f t="shared" si="18"/>
        <v>20.409054503384617</v>
      </c>
      <c r="I178" s="4">
        <f t="shared" si="18"/>
        <v>20.249101435000004</v>
      </c>
      <c r="J178" s="31"/>
      <c r="K178" s="31"/>
      <c r="L178" s="32"/>
    </row>
    <row r="179" spans="1:13" x14ac:dyDescent="0.3">
      <c r="A179" s="62"/>
      <c r="B179" s="59" t="s">
        <v>233</v>
      </c>
      <c r="C179" s="4">
        <f>AVERAGE(C145,C132,C111,C139,C153)</f>
        <v>28.51740212478834</v>
      </c>
      <c r="D179" s="4">
        <f t="shared" ref="D179:I179" si="19">AVERAGE(D145,D132,D111,D139,D153)</f>
        <v>26.226113776747503</v>
      </c>
      <c r="E179" s="4">
        <f t="shared" si="19"/>
        <v>30.579243875294473</v>
      </c>
      <c r="F179" s="31"/>
      <c r="G179" s="4">
        <f t="shared" si="19"/>
        <v>26.895311821576211</v>
      </c>
      <c r="H179" s="4">
        <f t="shared" si="19"/>
        <v>22.800338282808148</v>
      </c>
      <c r="I179" s="4">
        <f t="shared" si="19"/>
        <v>30.825723023529651</v>
      </c>
      <c r="J179" s="31"/>
      <c r="K179" s="31"/>
      <c r="L179" s="32"/>
      <c r="M179" s="2"/>
    </row>
    <row r="180" spans="1:13" x14ac:dyDescent="0.3">
      <c r="A180" s="62"/>
      <c r="B180" s="59" t="s">
        <v>223</v>
      </c>
      <c r="C180" s="4">
        <f>AVERAGE(C146,C124,C106,C72,C155)</f>
        <v>27.57667815005798</v>
      </c>
      <c r="D180" s="4">
        <f t="shared" ref="D180:H180" si="20">AVERAGE(D146,D124,D106,D72,D155)</f>
        <v>24.681001535645056</v>
      </c>
      <c r="E180" s="31"/>
      <c r="F180" s="31"/>
      <c r="G180" s="4">
        <f t="shared" si="20"/>
        <v>25.605340792171614</v>
      </c>
      <c r="H180" s="4">
        <f t="shared" si="20"/>
        <v>23.530016056292613</v>
      </c>
      <c r="I180" s="31"/>
      <c r="J180" s="31"/>
      <c r="K180" s="31"/>
      <c r="L180" s="32"/>
    </row>
    <row r="181" spans="1:13" x14ac:dyDescent="0.3">
      <c r="A181" s="228"/>
      <c r="B181" s="61" t="s">
        <v>234</v>
      </c>
      <c r="C181" s="9">
        <f>AVERAGE(C150,C114,C134)</f>
        <v>55.570311455888884</v>
      </c>
      <c r="D181" s="9">
        <f t="shared" ref="D181:H181" si="21">AVERAGE(D150,D114,D134)</f>
        <v>45.78029021541667</v>
      </c>
      <c r="E181" s="29"/>
      <c r="F181" s="29"/>
      <c r="G181" s="9">
        <f t="shared" si="21"/>
        <v>52.255834486388892</v>
      </c>
      <c r="H181" s="9">
        <f t="shared" si="21"/>
        <v>49.631093291455024</v>
      </c>
      <c r="I181" s="29"/>
      <c r="J181" s="29"/>
      <c r="K181" s="29"/>
      <c r="L181" s="30"/>
    </row>
    <row r="182" spans="1:13" x14ac:dyDescent="0.3">
      <c r="A182" s="11"/>
    </row>
    <row r="183" spans="1:13" ht="15" customHeight="1" x14ac:dyDescent="0.3">
      <c r="A183" s="67"/>
      <c r="B183" t="s">
        <v>94</v>
      </c>
    </row>
    <row r="184" spans="1:13" x14ac:dyDescent="0.3">
      <c r="B184" t="s">
        <v>109</v>
      </c>
      <c r="C184" s="4"/>
      <c r="D184" s="4"/>
      <c r="E184" s="4"/>
      <c r="F184" s="4"/>
      <c r="G184" s="4"/>
      <c r="H184" s="4"/>
      <c r="I184" s="4"/>
      <c r="J184" s="4"/>
      <c r="K184" s="4"/>
      <c r="L184" s="4"/>
    </row>
    <row r="185" spans="1:13" x14ac:dyDescent="0.3">
      <c r="B185" s="2"/>
      <c r="C185" s="4"/>
      <c r="D185" s="4"/>
      <c r="E185" s="4"/>
      <c r="F185" s="4"/>
      <c r="G185" s="4"/>
      <c r="H185" s="4"/>
      <c r="I185" s="4"/>
      <c r="J185" s="4"/>
      <c r="K185" s="4"/>
      <c r="L185" s="4"/>
    </row>
    <row r="186" spans="1:13" x14ac:dyDescent="0.3">
      <c r="B186" s="2"/>
      <c r="C186" s="4"/>
      <c r="D186" s="4"/>
      <c r="E186" s="4"/>
      <c r="F186" s="4"/>
      <c r="G186" s="4"/>
      <c r="H186" s="4"/>
      <c r="I186" s="4"/>
      <c r="J186" s="4"/>
      <c r="K186" s="4"/>
      <c r="L186" s="4"/>
    </row>
    <row r="187" spans="1:13" x14ac:dyDescent="0.3">
      <c r="B187" s="2"/>
      <c r="C187" s="4"/>
      <c r="D187" s="4"/>
      <c r="E187" s="4"/>
      <c r="F187" s="4"/>
      <c r="G187" s="4"/>
      <c r="H187" s="4"/>
      <c r="I187" s="4"/>
      <c r="J187" s="4"/>
      <c r="K187" s="4"/>
      <c r="L187" s="4"/>
    </row>
    <row r="188" spans="1:13" x14ac:dyDescent="0.3">
      <c r="B188" s="192"/>
      <c r="C188" s="4"/>
      <c r="D188" s="4"/>
      <c r="E188" s="4"/>
      <c r="F188" s="4"/>
      <c r="G188" s="4"/>
      <c r="H188" s="4"/>
      <c r="I188" s="4"/>
      <c r="J188" s="4"/>
      <c r="K188" s="4"/>
      <c r="L188" s="4"/>
    </row>
    <row r="189" spans="1:13" x14ac:dyDescent="0.3">
      <c r="B189" s="2"/>
      <c r="C189" s="4"/>
      <c r="D189" s="4"/>
      <c r="E189" s="4"/>
      <c r="F189" s="4"/>
      <c r="G189" s="4"/>
      <c r="H189" s="4"/>
      <c r="I189" s="4"/>
      <c r="J189" s="4"/>
      <c r="K189" s="4"/>
      <c r="L189" s="4"/>
    </row>
    <row r="190" spans="1:13" x14ac:dyDescent="0.3">
      <c r="B190" s="2"/>
      <c r="C190" s="4"/>
      <c r="D190" s="4"/>
      <c r="E190" s="4"/>
      <c r="F190" s="4"/>
      <c r="G190" s="4"/>
      <c r="H190" s="4"/>
      <c r="I190" s="4"/>
      <c r="J190" s="4"/>
      <c r="K190" s="4"/>
      <c r="L190" s="4"/>
    </row>
    <row r="191" spans="1:13" x14ac:dyDescent="0.3">
      <c r="A191" s="68"/>
      <c r="B191" s="2"/>
      <c r="C191" s="4"/>
      <c r="D191" s="4"/>
      <c r="E191" s="4"/>
      <c r="F191" s="4"/>
      <c r="G191" s="4"/>
      <c r="H191" s="4"/>
      <c r="I191" s="4"/>
      <c r="J191" s="4"/>
      <c r="K191" s="4"/>
      <c r="L191" s="4"/>
    </row>
    <row r="192" spans="1:13" x14ac:dyDescent="0.3">
      <c r="A192" s="68"/>
      <c r="B192" s="2"/>
      <c r="C192" s="4"/>
      <c r="D192" s="4"/>
      <c r="E192" s="4"/>
      <c r="F192" s="4"/>
      <c r="G192" s="4"/>
      <c r="H192" s="4"/>
      <c r="I192" s="4"/>
      <c r="J192" s="4"/>
      <c r="K192" s="4"/>
      <c r="L192" s="4"/>
    </row>
    <row r="193" spans="3:12" x14ac:dyDescent="0.3">
      <c r="C193" s="4"/>
      <c r="D193" s="4"/>
      <c r="E193" s="4"/>
      <c r="F193" s="4"/>
      <c r="G193" s="4"/>
      <c r="H193" s="4"/>
      <c r="I193" s="4"/>
      <c r="J193" s="4"/>
      <c r="K193" s="4"/>
      <c r="L193" s="4"/>
    </row>
  </sheetData>
  <mergeCells count="11">
    <mergeCell ref="C162:F162"/>
    <mergeCell ref="A66:B66"/>
    <mergeCell ref="A1:B1"/>
    <mergeCell ref="G81:K81"/>
    <mergeCell ref="C2:F2"/>
    <mergeCell ref="C81:F81"/>
    <mergeCell ref="C66:F66"/>
    <mergeCell ref="A2:B2"/>
    <mergeCell ref="G2:L2"/>
    <mergeCell ref="G66:L66"/>
    <mergeCell ref="G162:L1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8"/>
  <sheetViews>
    <sheetView zoomScale="85" zoomScaleNormal="85" workbookViewId="0">
      <selection activeCell="L97" sqref="L97"/>
    </sheetView>
  </sheetViews>
  <sheetFormatPr defaultRowHeight="14.4" x14ac:dyDescent="0.3"/>
  <cols>
    <col min="1" max="1" width="27.21875" customWidth="1"/>
    <col min="2" max="2" width="44.77734375" customWidth="1"/>
    <col min="3" max="11" width="10" bestFit="1" customWidth="1"/>
    <col min="12" max="12" width="10" customWidth="1"/>
    <col min="13" max="13" width="39.77734375" customWidth="1"/>
  </cols>
  <sheetData>
    <row r="1" spans="1:27" ht="21.75" customHeight="1" x14ac:dyDescent="0.3">
      <c r="A1" s="315" t="s">
        <v>91</v>
      </c>
      <c r="B1" s="315"/>
      <c r="K1" s="70"/>
      <c r="L1" s="70"/>
    </row>
    <row r="2" spans="1:27" ht="18" x14ac:dyDescent="0.35">
      <c r="A2" s="313" t="s">
        <v>53</v>
      </c>
      <c r="B2" s="320"/>
      <c r="C2" s="310" t="s">
        <v>13</v>
      </c>
      <c r="D2" s="311"/>
      <c r="E2" s="311"/>
      <c r="F2" s="311"/>
      <c r="G2" s="310" t="s">
        <v>14</v>
      </c>
      <c r="H2" s="311"/>
      <c r="I2" s="311"/>
      <c r="J2" s="311"/>
      <c r="K2" s="311"/>
      <c r="L2" s="312"/>
      <c r="N2" s="80"/>
      <c r="O2" s="80"/>
      <c r="P2" s="80"/>
      <c r="Q2" s="80"/>
      <c r="R2" s="80"/>
      <c r="S2" s="80"/>
      <c r="T2" s="80"/>
      <c r="U2" s="80"/>
      <c r="V2" s="80"/>
      <c r="W2" s="80"/>
      <c r="X2" s="80"/>
      <c r="Y2" s="80"/>
      <c r="Z2" s="80"/>
    </row>
    <row r="3" spans="1:27" x14ac:dyDescent="0.3">
      <c r="A3" s="71" t="s">
        <v>27</v>
      </c>
      <c r="B3" s="72" t="s">
        <v>92</v>
      </c>
      <c r="C3" s="21" t="s">
        <v>0</v>
      </c>
      <c r="D3" s="22" t="s">
        <v>1</v>
      </c>
      <c r="E3" s="22" t="s">
        <v>2</v>
      </c>
      <c r="F3" s="22" t="s">
        <v>3</v>
      </c>
      <c r="G3" s="21" t="s">
        <v>0</v>
      </c>
      <c r="H3" s="22" t="s">
        <v>1</v>
      </c>
      <c r="I3" s="22" t="s">
        <v>2</v>
      </c>
      <c r="J3" s="22" t="s">
        <v>3</v>
      </c>
      <c r="K3" s="22" t="s">
        <v>4</v>
      </c>
      <c r="L3" s="23" t="s">
        <v>303</v>
      </c>
      <c r="N3" s="80"/>
      <c r="O3" s="80"/>
      <c r="P3" s="80"/>
      <c r="Q3" s="80"/>
      <c r="R3" s="80"/>
      <c r="S3" s="80"/>
      <c r="T3" s="80"/>
      <c r="U3" s="80"/>
      <c r="V3" s="80"/>
      <c r="W3" s="80"/>
      <c r="X3" s="80"/>
      <c r="Y3" s="80"/>
      <c r="Z3" s="80"/>
    </row>
    <row r="4" spans="1:27" x14ac:dyDescent="0.3">
      <c r="A4" s="36" t="s">
        <v>6</v>
      </c>
      <c r="B4" s="37" t="s">
        <v>34</v>
      </c>
      <c r="C4" s="94" t="s">
        <v>81</v>
      </c>
      <c r="D4" s="94" t="s">
        <v>56</v>
      </c>
      <c r="E4" s="94" t="s">
        <v>57</v>
      </c>
      <c r="F4" s="94" t="s">
        <v>98</v>
      </c>
      <c r="G4" s="1" t="s">
        <v>81</v>
      </c>
      <c r="H4" s="1" t="s">
        <v>56</v>
      </c>
      <c r="I4" s="1" t="s">
        <v>57</v>
      </c>
      <c r="J4" s="1" t="s">
        <v>98</v>
      </c>
      <c r="K4" s="1" t="s">
        <v>99</v>
      </c>
      <c r="L4" s="95" t="s">
        <v>307</v>
      </c>
      <c r="M4" s="93" t="s">
        <v>114</v>
      </c>
      <c r="N4" s="3"/>
      <c r="O4" s="3"/>
      <c r="P4" s="3"/>
      <c r="Q4" s="3"/>
    </row>
    <row r="5" spans="1:27" x14ac:dyDescent="0.3">
      <c r="A5" s="11"/>
      <c r="B5" s="2" t="s">
        <v>7</v>
      </c>
      <c r="C5">
        <f>0.0001*EXP(0.0947*15)</f>
        <v>4.1391895176977746E-4</v>
      </c>
      <c r="D5">
        <f>0.0001*EXP(0.0947*25)</f>
        <v>1.0670682204911275E-3</v>
      </c>
      <c r="E5">
        <f>0.0001*EXP(0.0947*35)</f>
        <v>2.7508636227302108E-3</v>
      </c>
      <c r="F5" s="45"/>
      <c r="G5">
        <f>0.0001*EXP(0.0947*15)</f>
        <v>4.1391895176977746E-4</v>
      </c>
      <c r="H5">
        <f>0.0001*EXP(0.0947*25)</f>
        <v>1.0670682204911275E-3</v>
      </c>
      <c r="I5">
        <f>0.0001*EXP(0.0947*35)</f>
        <v>2.7508636227302108E-3</v>
      </c>
      <c r="J5">
        <f>0.0001*EXP(0.0947*45)</f>
        <v>7.0916278130534922E-3</v>
      </c>
      <c r="K5" s="74"/>
      <c r="L5" s="76"/>
      <c r="M5" t="s">
        <v>107</v>
      </c>
      <c r="R5" s="2"/>
      <c r="S5" s="14"/>
      <c r="T5" s="14"/>
      <c r="U5" s="14"/>
      <c r="V5" s="14"/>
      <c r="W5" s="14"/>
      <c r="X5" s="14"/>
      <c r="Y5" s="14"/>
      <c r="Z5" s="14"/>
      <c r="AA5" s="14"/>
    </row>
    <row r="6" spans="1:27" x14ac:dyDescent="0.3">
      <c r="A6" s="41"/>
      <c r="B6" s="2" t="s">
        <v>8</v>
      </c>
      <c r="C6">
        <f>0.00001*(15^2.4035)</f>
        <v>6.7101980913668461E-3</v>
      </c>
      <c r="D6">
        <f>0.00001*(25^2.4035)</f>
        <v>2.2905976500909399E-2</v>
      </c>
      <c r="E6">
        <f>0.00001*(35^2.4035)</f>
        <v>5.1424200052430959E-2</v>
      </c>
      <c r="F6">
        <f>0.00001*(45^2.4035)</f>
        <v>9.4079776468495732E-2</v>
      </c>
      <c r="G6">
        <f>0.00001*(15^2.4035)</f>
        <v>6.7101980913668461E-3</v>
      </c>
      <c r="H6">
        <f>0.00001*(25^2.4035)</f>
        <v>2.2905976500909399E-2</v>
      </c>
      <c r="I6">
        <f>0.00001*(35^2.4035)</f>
        <v>5.1424200052430959E-2</v>
      </c>
      <c r="J6">
        <f>0.00001*(45^2.4035)</f>
        <v>9.4079776468495732E-2</v>
      </c>
      <c r="K6">
        <f>0.00001*(55^2.4035)</f>
        <v>0.15239184399360922</v>
      </c>
      <c r="L6" s="34">
        <f>0.00001*(65^2.4035)</f>
        <v>0.22768648507095254</v>
      </c>
      <c r="M6" t="s">
        <v>108</v>
      </c>
      <c r="R6" s="2"/>
      <c r="S6" s="14"/>
      <c r="T6" s="14"/>
      <c r="U6" s="14"/>
      <c r="V6" s="14"/>
      <c r="W6" s="14"/>
      <c r="X6" s="14"/>
      <c r="Y6" s="14"/>
      <c r="Z6" s="14"/>
      <c r="AA6" s="14"/>
    </row>
    <row r="7" spans="1:27" x14ac:dyDescent="0.3">
      <c r="A7" s="41"/>
      <c r="B7" s="2"/>
      <c r="C7" s="14"/>
      <c r="D7" s="14"/>
      <c r="E7" s="14"/>
      <c r="F7" s="14"/>
      <c r="G7" s="14"/>
      <c r="H7" s="14"/>
      <c r="I7" s="14"/>
      <c r="J7" s="14"/>
      <c r="K7" s="14"/>
      <c r="L7" s="17"/>
    </row>
    <row r="8" spans="1:27" x14ac:dyDescent="0.3">
      <c r="A8" s="42" t="s">
        <v>5</v>
      </c>
      <c r="B8" s="26" t="s">
        <v>34</v>
      </c>
      <c r="C8" s="20" t="s">
        <v>10</v>
      </c>
      <c r="D8" s="20" t="s">
        <v>11</v>
      </c>
      <c r="E8" s="20" t="s">
        <v>12</v>
      </c>
      <c r="F8" s="20" t="s">
        <v>12</v>
      </c>
      <c r="G8" s="20" t="s">
        <v>10</v>
      </c>
      <c r="H8" s="20" t="s">
        <v>11</v>
      </c>
      <c r="I8" s="20" t="s">
        <v>12</v>
      </c>
      <c r="J8" s="20" t="s">
        <v>15</v>
      </c>
      <c r="K8" s="20" t="s">
        <v>15</v>
      </c>
      <c r="L8" s="84"/>
    </row>
    <row r="9" spans="1:27" x14ac:dyDescent="0.3">
      <c r="A9" s="11"/>
      <c r="B9" t="s">
        <v>9</v>
      </c>
      <c r="C9" s="75">
        <v>5.1999999999999998E-3</v>
      </c>
      <c r="D9" s="75">
        <v>8.8999999999999999E-3</v>
      </c>
      <c r="E9" s="75">
        <v>8.2000000000000003E-2</v>
      </c>
      <c r="F9" s="75">
        <v>8.2000000000000003E-2</v>
      </c>
      <c r="G9" s="75">
        <v>5.1999999999999998E-3</v>
      </c>
      <c r="H9" s="75">
        <v>8.8999999999999999E-3</v>
      </c>
      <c r="I9" s="75">
        <v>8.2000000000000003E-2</v>
      </c>
      <c r="J9" s="75">
        <v>0.115</v>
      </c>
      <c r="K9" s="75">
        <v>0.115</v>
      </c>
      <c r="L9" s="85"/>
      <c r="M9" t="s">
        <v>157</v>
      </c>
    </row>
    <row r="10" spans="1:27" x14ac:dyDescent="0.3">
      <c r="A10" s="11"/>
      <c r="C10" s="75"/>
      <c r="D10" s="75"/>
      <c r="E10" s="75"/>
      <c r="F10" s="75"/>
      <c r="G10" s="75"/>
      <c r="H10" s="75"/>
      <c r="I10" s="75"/>
      <c r="J10" s="75"/>
      <c r="K10" s="75"/>
      <c r="L10" s="85"/>
    </row>
    <row r="11" spans="1:27" x14ac:dyDescent="0.3">
      <c r="A11" s="11"/>
      <c r="C11" s="75"/>
      <c r="D11" s="75"/>
      <c r="E11" s="75"/>
      <c r="F11" s="75"/>
      <c r="G11" s="75"/>
      <c r="H11" s="75"/>
      <c r="I11" s="75"/>
      <c r="J11" s="75"/>
      <c r="K11" s="75"/>
      <c r="L11" s="85"/>
    </row>
    <row r="12" spans="1:27" ht="15" customHeight="1" x14ac:dyDescent="0.3">
      <c r="A12" s="42" t="s">
        <v>24</v>
      </c>
      <c r="B12" s="26" t="s">
        <v>36</v>
      </c>
      <c r="C12" s="81" t="s">
        <v>81</v>
      </c>
      <c r="D12" s="81" t="s">
        <v>56</v>
      </c>
      <c r="E12" s="81" t="s">
        <v>57</v>
      </c>
      <c r="F12" s="81" t="s">
        <v>98</v>
      </c>
      <c r="G12" s="81" t="s">
        <v>81</v>
      </c>
      <c r="H12" s="81" t="s">
        <v>56</v>
      </c>
      <c r="I12" s="81" t="s">
        <v>57</v>
      </c>
      <c r="J12" s="81" t="s">
        <v>98</v>
      </c>
      <c r="K12" s="26"/>
      <c r="L12" s="46"/>
      <c r="N12" s="79"/>
      <c r="O12" s="79"/>
      <c r="P12" s="79"/>
      <c r="Q12" s="79"/>
      <c r="R12" s="79"/>
      <c r="S12" s="79"/>
      <c r="T12" s="79"/>
      <c r="U12" s="79"/>
      <c r="V12" s="79"/>
      <c r="W12" s="79"/>
      <c r="X12" s="79"/>
      <c r="Y12" s="79"/>
      <c r="Z12" s="79"/>
    </row>
    <row r="13" spans="1:27" x14ac:dyDescent="0.3">
      <c r="A13" s="11"/>
      <c r="B13" s="2" t="s">
        <v>7</v>
      </c>
      <c r="F13" s="45"/>
      <c r="K13" s="45"/>
      <c r="L13" s="47"/>
      <c r="M13" s="322" t="s">
        <v>105</v>
      </c>
      <c r="N13" s="322"/>
      <c r="O13" s="322"/>
      <c r="P13" s="322"/>
      <c r="Q13" s="322"/>
      <c r="R13" s="322"/>
      <c r="S13" s="322"/>
      <c r="T13" s="322"/>
      <c r="U13" s="322"/>
      <c r="V13" s="322"/>
      <c r="W13" s="322"/>
      <c r="X13" s="322"/>
      <c r="Y13" s="322"/>
      <c r="Z13" s="322"/>
    </row>
    <row r="14" spans="1:27" x14ac:dyDescent="0.3">
      <c r="A14" s="11"/>
      <c r="B14" s="2" t="s">
        <v>8</v>
      </c>
      <c r="C14" s="77">
        <v>1.2437511163477237E-3</v>
      </c>
      <c r="D14" s="77">
        <v>1.4078693528364642E-2</v>
      </c>
      <c r="E14" s="77">
        <v>7.1793374578677224E-2</v>
      </c>
      <c r="F14" s="77">
        <v>0.24636922181047105</v>
      </c>
      <c r="G14" s="77">
        <v>1.2437511163477237E-3</v>
      </c>
      <c r="H14" s="77">
        <v>1.4078693528364642E-2</v>
      </c>
      <c r="I14" s="77">
        <v>7.1793374578677224E-2</v>
      </c>
      <c r="J14" s="77">
        <v>0.24636922181047105</v>
      </c>
      <c r="K14" s="78">
        <v>0.24636922181047105</v>
      </c>
      <c r="L14" s="86">
        <v>0.24636922181047105</v>
      </c>
      <c r="M14" s="322"/>
      <c r="N14" s="322"/>
      <c r="O14" s="322"/>
      <c r="P14" s="322"/>
      <c r="Q14" s="322"/>
      <c r="R14" s="322"/>
      <c r="S14" s="322"/>
      <c r="T14" s="322"/>
      <c r="U14" s="322"/>
      <c r="V14" s="322"/>
      <c r="W14" s="322"/>
      <c r="X14" s="322"/>
      <c r="Y14" s="322"/>
      <c r="Z14" s="322"/>
    </row>
    <row r="15" spans="1:27" x14ac:dyDescent="0.3">
      <c r="A15" s="11"/>
      <c r="B15" s="2"/>
      <c r="C15" s="40"/>
      <c r="D15" s="40"/>
      <c r="E15" s="40"/>
      <c r="F15" s="40"/>
      <c r="G15" s="40"/>
      <c r="H15" s="40"/>
      <c r="I15" s="40"/>
      <c r="J15" s="4"/>
      <c r="K15" s="4"/>
      <c r="L15" s="12"/>
      <c r="M15" s="79"/>
      <c r="N15" s="79"/>
      <c r="O15" s="79"/>
      <c r="P15" s="79"/>
      <c r="Q15" s="79"/>
      <c r="R15" s="79"/>
      <c r="S15" s="79"/>
      <c r="T15" s="79"/>
      <c r="U15" s="79"/>
    </row>
    <row r="16" spans="1:27" ht="15" customHeight="1" x14ac:dyDescent="0.3">
      <c r="A16" s="42" t="s">
        <v>50</v>
      </c>
      <c r="B16" s="26" t="s">
        <v>45</v>
      </c>
      <c r="C16" s="48"/>
      <c r="D16" s="48"/>
      <c r="E16" s="48"/>
      <c r="F16" s="48"/>
      <c r="G16" s="48"/>
      <c r="H16" s="48"/>
      <c r="I16" s="48"/>
      <c r="J16" s="48"/>
      <c r="K16" s="48"/>
      <c r="L16" s="64"/>
      <c r="M16" s="321" t="s">
        <v>97</v>
      </c>
      <c r="N16" s="321"/>
      <c r="O16" s="321"/>
      <c r="P16" s="321"/>
      <c r="Q16" s="321"/>
      <c r="R16" s="321"/>
      <c r="S16" s="321"/>
      <c r="T16" s="321"/>
      <c r="U16" s="321"/>
      <c r="V16" s="321"/>
      <c r="W16" s="321"/>
      <c r="X16" s="321"/>
      <c r="Y16" s="321"/>
      <c r="Z16" s="321"/>
    </row>
    <row r="17" spans="1:26" x14ac:dyDescent="0.3">
      <c r="A17" s="11"/>
      <c r="B17" s="2" t="s">
        <v>29</v>
      </c>
      <c r="C17" s="78"/>
      <c r="D17" s="78"/>
      <c r="E17" s="78">
        <v>0.11</v>
      </c>
      <c r="F17" s="78">
        <v>0.11</v>
      </c>
      <c r="G17" s="78"/>
      <c r="H17" s="78"/>
      <c r="I17" s="78">
        <v>0.11</v>
      </c>
      <c r="J17" s="78">
        <v>0.11</v>
      </c>
      <c r="K17" s="78">
        <v>0.11</v>
      </c>
      <c r="L17" s="86">
        <v>0.11</v>
      </c>
      <c r="M17" s="69"/>
      <c r="N17" s="69"/>
      <c r="O17" s="69"/>
      <c r="P17" s="69"/>
      <c r="Q17" s="69"/>
      <c r="R17" s="69"/>
      <c r="S17" s="69"/>
      <c r="T17" s="69"/>
      <c r="U17" s="69"/>
      <c r="V17" s="69"/>
      <c r="W17" s="69"/>
      <c r="X17" s="69"/>
      <c r="Y17" s="69"/>
      <c r="Z17" s="69"/>
    </row>
    <row r="18" spans="1:26" x14ac:dyDescent="0.3">
      <c r="A18" s="11"/>
      <c r="B18" s="2" t="s">
        <v>49</v>
      </c>
      <c r="C18" s="78"/>
      <c r="D18" s="78"/>
      <c r="E18" s="78">
        <v>0.114</v>
      </c>
      <c r="F18" s="78">
        <v>0.114</v>
      </c>
      <c r="G18" s="78"/>
      <c r="H18" s="78"/>
      <c r="I18" s="78">
        <v>0.114</v>
      </c>
      <c r="J18" s="78">
        <v>0.114</v>
      </c>
      <c r="K18" s="78">
        <v>0.114</v>
      </c>
      <c r="L18" s="86">
        <v>0.114</v>
      </c>
      <c r="M18" t="s">
        <v>95</v>
      </c>
    </row>
    <row r="19" spans="1:26" x14ac:dyDescent="0.3">
      <c r="A19" s="11"/>
      <c r="B19" s="2" t="s">
        <v>7</v>
      </c>
      <c r="C19" s="78"/>
      <c r="D19" s="78">
        <v>8.0000000000000002E-3</v>
      </c>
      <c r="E19" s="78">
        <v>8.0000000000000002E-3</v>
      </c>
      <c r="F19" s="87"/>
      <c r="G19" s="78"/>
      <c r="H19" s="78">
        <v>8.0000000000000002E-3</v>
      </c>
      <c r="I19" s="78">
        <v>8.0000000000000002E-3</v>
      </c>
      <c r="J19" s="78">
        <v>8.0000000000000002E-3</v>
      </c>
      <c r="K19" s="74"/>
      <c r="L19" s="76"/>
    </row>
    <row r="20" spans="1:26" x14ac:dyDescent="0.3">
      <c r="A20" s="11"/>
      <c r="C20" s="14"/>
      <c r="D20" s="14"/>
      <c r="E20" s="14"/>
      <c r="F20" s="14"/>
      <c r="G20" s="14"/>
      <c r="H20" s="14"/>
      <c r="I20" s="14"/>
      <c r="J20" s="14"/>
      <c r="K20" s="14"/>
      <c r="L20" s="17"/>
    </row>
    <row r="21" spans="1:26" ht="15" customHeight="1" x14ac:dyDescent="0.3">
      <c r="A21" s="42" t="s">
        <v>23</v>
      </c>
      <c r="B21" s="26" t="s">
        <v>38</v>
      </c>
      <c r="C21" s="1" t="s">
        <v>26</v>
      </c>
      <c r="D21" s="26"/>
      <c r="E21" s="1" t="s">
        <v>12</v>
      </c>
      <c r="F21" s="1" t="s">
        <v>12</v>
      </c>
      <c r="G21" s="1" t="s">
        <v>26</v>
      </c>
      <c r="H21" s="26"/>
      <c r="I21" s="1" t="s">
        <v>12</v>
      </c>
      <c r="J21" s="1" t="s">
        <v>12</v>
      </c>
      <c r="K21" s="26"/>
      <c r="L21" s="46"/>
      <c r="N21" s="69"/>
      <c r="O21" s="69"/>
      <c r="P21" s="69"/>
      <c r="Q21" s="69"/>
      <c r="R21" s="69"/>
      <c r="S21" s="69"/>
      <c r="T21" s="69"/>
      <c r="U21" s="69"/>
      <c r="V21" s="69"/>
      <c r="W21" s="69"/>
      <c r="X21" s="69"/>
      <c r="Y21" s="69"/>
      <c r="Z21" s="69"/>
    </row>
    <row r="22" spans="1:26" ht="15" customHeight="1" x14ac:dyDescent="0.3">
      <c r="A22" s="11"/>
      <c r="B22" s="2" t="s">
        <v>86</v>
      </c>
      <c r="C22" s="14">
        <v>2.2000000000000001E-3</v>
      </c>
      <c r="D22" s="14"/>
      <c r="E22" s="14"/>
      <c r="F22" s="74"/>
      <c r="G22" s="75">
        <v>2.2000000000000001E-3</v>
      </c>
      <c r="H22" s="14"/>
      <c r="I22" s="14"/>
      <c r="J22" s="14"/>
      <c r="K22" s="74"/>
      <c r="L22" s="76"/>
      <c r="M22" s="321" t="s">
        <v>158</v>
      </c>
      <c r="N22" s="321"/>
      <c r="O22" s="321"/>
      <c r="P22" s="321"/>
      <c r="Q22" s="321"/>
      <c r="R22" s="321"/>
      <c r="S22" s="321"/>
      <c r="T22" s="321"/>
      <c r="U22" s="321"/>
      <c r="V22" s="321"/>
      <c r="W22" s="321"/>
      <c r="X22" s="321"/>
      <c r="Y22" s="321"/>
      <c r="Z22" s="69"/>
    </row>
    <row r="23" spans="1:26" ht="15" customHeight="1" x14ac:dyDescent="0.3">
      <c r="A23" s="41"/>
      <c r="B23" s="2" t="s">
        <v>64</v>
      </c>
      <c r="C23" s="14"/>
      <c r="D23" s="14"/>
      <c r="E23" s="77">
        <v>0.25600000000000001</v>
      </c>
      <c r="F23" s="77">
        <v>0.25600000000000001</v>
      </c>
      <c r="G23" s="14"/>
      <c r="H23" s="14"/>
      <c r="I23" s="14">
        <v>0.25600000000000001</v>
      </c>
      <c r="J23" s="14">
        <v>0.25600000000000001</v>
      </c>
      <c r="K23" s="14">
        <v>0.25600000000000001</v>
      </c>
      <c r="L23" s="86">
        <v>0.25600000000000001</v>
      </c>
      <c r="M23" s="321"/>
      <c r="N23" s="321"/>
      <c r="O23" s="321"/>
      <c r="P23" s="321"/>
      <c r="Q23" s="321"/>
      <c r="R23" s="321"/>
      <c r="S23" s="321"/>
      <c r="T23" s="321"/>
      <c r="U23" s="321"/>
      <c r="V23" s="321"/>
      <c r="W23" s="321"/>
      <c r="X23" s="321"/>
      <c r="Y23" s="321"/>
      <c r="Z23" s="69"/>
    </row>
    <row r="24" spans="1:26" ht="15" customHeight="1" x14ac:dyDescent="0.3">
      <c r="A24" s="41"/>
      <c r="B24" s="2"/>
      <c r="C24" s="14"/>
      <c r="D24" s="14"/>
      <c r="E24" s="77"/>
      <c r="F24" s="77"/>
      <c r="G24" s="14"/>
      <c r="H24" s="14"/>
      <c r="I24" s="14"/>
      <c r="J24" s="14"/>
      <c r="K24" s="14"/>
      <c r="L24" s="17"/>
      <c r="M24" s="240"/>
      <c r="N24" s="240"/>
      <c r="O24" s="240"/>
      <c r="P24" s="240"/>
      <c r="Q24" s="240"/>
      <c r="R24" s="240"/>
      <c r="S24" s="240"/>
      <c r="T24" s="240"/>
      <c r="U24" s="240"/>
      <c r="V24" s="240"/>
      <c r="W24" s="240"/>
      <c r="X24" s="240"/>
      <c r="Y24" s="240"/>
      <c r="Z24" s="69"/>
    </row>
    <row r="25" spans="1:26" ht="15" customHeight="1" x14ac:dyDescent="0.3">
      <c r="A25" s="42" t="s">
        <v>260</v>
      </c>
      <c r="B25" s="26" t="s">
        <v>38</v>
      </c>
      <c r="C25" s="1"/>
      <c r="D25" s="26"/>
      <c r="E25" s="1"/>
      <c r="F25" s="1" t="s">
        <v>258</v>
      </c>
      <c r="G25" s="1"/>
      <c r="H25" s="26"/>
      <c r="I25" s="1"/>
      <c r="J25" s="1" t="s">
        <v>258</v>
      </c>
      <c r="K25" s="26"/>
      <c r="L25" s="46"/>
      <c r="M25" s="240"/>
      <c r="N25" s="240"/>
      <c r="O25" s="240"/>
      <c r="P25" s="240"/>
      <c r="Q25" s="240"/>
      <c r="R25" s="240"/>
      <c r="S25" s="240"/>
      <c r="T25" s="240"/>
      <c r="U25" s="240"/>
      <c r="V25" s="240"/>
      <c r="W25" s="240"/>
      <c r="X25" s="240"/>
      <c r="Y25" s="240"/>
      <c r="Z25" s="69"/>
    </row>
    <row r="26" spans="1:26" ht="15" customHeight="1" x14ac:dyDescent="0.3">
      <c r="A26" s="41"/>
      <c r="B26" s="2" t="s">
        <v>180</v>
      </c>
      <c r="C26" s="14"/>
      <c r="D26" s="14"/>
      <c r="E26" s="77"/>
      <c r="F26" s="77">
        <v>0.5776</v>
      </c>
      <c r="G26" s="14"/>
      <c r="H26" s="14"/>
      <c r="I26" s="14"/>
      <c r="J26" s="77">
        <v>0.5776</v>
      </c>
      <c r="K26" s="78">
        <v>0.5776</v>
      </c>
      <c r="L26" s="86">
        <v>0.5776</v>
      </c>
      <c r="M26" s="93" t="s">
        <v>262</v>
      </c>
      <c r="N26" s="240"/>
      <c r="O26" s="240"/>
      <c r="P26" s="240"/>
      <c r="Q26" s="240"/>
      <c r="R26" s="240"/>
      <c r="S26" s="240"/>
      <c r="T26" s="240"/>
      <c r="U26" s="240"/>
      <c r="V26" s="240"/>
      <c r="W26" s="240"/>
      <c r="X26" s="240"/>
      <c r="Y26" s="240"/>
      <c r="Z26" s="69"/>
    </row>
    <row r="27" spans="1:26" ht="15" customHeight="1" x14ac:dyDescent="0.3">
      <c r="A27" s="11"/>
      <c r="B27" s="2"/>
      <c r="C27" s="14"/>
      <c r="D27" s="14"/>
      <c r="E27" s="14"/>
      <c r="F27" s="14"/>
      <c r="G27" s="75"/>
      <c r="H27" s="14"/>
      <c r="I27" s="14"/>
      <c r="J27" s="14"/>
      <c r="K27" s="14"/>
      <c r="L27" s="17"/>
      <c r="M27" s="69"/>
      <c r="N27" s="69"/>
      <c r="O27" s="69"/>
      <c r="P27" s="69"/>
      <c r="Q27" s="69"/>
      <c r="R27" s="69"/>
      <c r="S27" s="69"/>
      <c r="T27" s="69"/>
      <c r="U27" s="69"/>
      <c r="V27" s="69"/>
      <c r="W27" s="69"/>
      <c r="X27" s="69"/>
      <c r="Y27" s="69"/>
      <c r="Z27" s="69"/>
    </row>
    <row r="28" spans="1:26" ht="15" customHeight="1" x14ac:dyDescent="0.3">
      <c r="A28" s="42" t="s">
        <v>22</v>
      </c>
      <c r="B28" s="26" t="s">
        <v>35</v>
      </c>
      <c r="C28" s="81" t="s">
        <v>81</v>
      </c>
      <c r="D28" s="81" t="s">
        <v>56</v>
      </c>
      <c r="E28" s="81" t="s">
        <v>57</v>
      </c>
      <c r="F28" s="81" t="s">
        <v>98</v>
      </c>
      <c r="G28" s="81" t="s">
        <v>81</v>
      </c>
      <c r="H28" s="81" t="s">
        <v>56</v>
      </c>
      <c r="I28" s="81" t="s">
        <v>57</v>
      </c>
      <c r="J28" s="81" t="s">
        <v>98</v>
      </c>
      <c r="K28" s="81" t="s">
        <v>99</v>
      </c>
      <c r="L28" s="82"/>
      <c r="M28" s="93" t="s">
        <v>114</v>
      </c>
      <c r="N28" s="69"/>
      <c r="O28" s="69"/>
      <c r="P28" s="69"/>
      <c r="Q28" s="69"/>
      <c r="R28" s="69"/>
      <c r="S28" s="69"/>
      <c r="T28" s="69"/>
      <c r="U28" s="69"/>
      <c r="V28" s="69"/>
      <c r="W28" s="69"/>
      <c r="X28" s="69"/>
      <c r="Y28" s="69"/>
      <c r="Z28" s="69"/>
    </row>
    <row r="29" spans="1:26" ht="15" customHeight="1" x14ac:dyDescent="0.3">
      <c r="A29" s="11"/>
      <c r="B29" s="2" t="s">
        <v>51</v>
      </c>
      <c r="C29" s="229">
        <f>0.000003*(15^2.6228)</f>
        <v>3.6456368796933887E-3</v>
      </c>
      <c r="D29" s="229">
        <f>0.000003*(25^2.6228)</f>
        <v>1.391997032598831E-2</v>
      </c>
      <c r="E29" s="229">
        <f>0.000003*(35^2.6228)</f>
        <v>3.3643635679851208E-2</v>
      </c>
      <c r="F29" s="229">
        <f>0.000003*(45^2.6228)</f>
        <v>6.503797875835296E-2</v>
      </c>
      <c r="G29" s="229">
        <f>0.000003*(15^2.6228)</f>
        <v>3.6456368796933887E-3</v>
      </c>
      <c r="H29" s="229">
        <f>0.000003*(25^2.6228)</f>
        <v>1.391997032598831E-2</v>
      </c>
      <c r="I29" s="229">
        <f>0.000003*(35^2.6228)</f>
        <v>3.3643635679851208E-2</v>
      </c>
      <c r="J29" s="229">
        <f>0.000003*(45^2.6228)</f>
        <v>6.503797875835296E-2</v>
      </c>
      <c r="K29" s="229">
        <f>0.000003*(55^2.6228)</f>
        <v>0.11008914953947224</v>
      </c>
      <c r="L29" s="245"/>
      <c r="M29" t="s">
        <v>101</v>
      </c>
      <c r="N29" s="69"/>
      <c r="O29" s="69"/>
      <c r="P29" s="69"/>
      <c r="Q29" s="69"/>
      <c r="R29" s="69"/>
      <c r="S29" s="69"/>
      <c r="T29" s="69"/>
      <c r="U29" s="69"/>
      <c r="V29" s="69"/>
      <c r="W29" s="69"/>
      <c r="X29" s="69"/>
      <c r="Y29" s="69"/>
      <c r="Z29" s="69"/>
    </row>
    <row r="30" spans="1:26" x14ac:dyDescent="0.3">
      <c r="A30" s="11"/>
      <c r="L30" s="34"/>
      <c r="M30" s="69"/>
      <c r="N30" s="69"/>
      <c r="O30" s="69"/>
      <c r="P30" s="69"/>
      <c r="Q30" s="69"/>
      <c r="R30" s="69"/>
      <c r="S30" s="69"/>
      <c r="T30" s="69"/>
      <c r="U30" s="69"/>
      <c r="V30" s="69"/>
      <c r="W30" s="69"/>
      <c r="X30" s="69"/>
      <c r="Y30" s="69"/>
      <c r="Z30" s="69"/>
    </row>
    <row r="31" spans="1:26" ht="14.55" customHeight="1" x14ac:dyDescent="0.3">
      <c r="A31" s="42" t="s">
        <v>294</v>
      </c>
      <c r="B31" s="26" t="s">
        <v>217</v>
      </c>
      <c r="C31" s="220" t="s">
        <v>0</v>
      </c>
      <c r="D31" s="220" t="s">
        <v>1</v>
      </c>
      <c r="E31" s="220" t="s">
        <v>2</v>
      </c>
      <c r="F31" s="220" t="s">
        <v>3</v>
      </c>
      <c r="G31" s="220" t="s">
        <v>0</v>
      </c>
      <c r="H31" s="220" t="s">
        <v>1</v>
      </c>
      <c r="I31" s="220" t="s">
        <v>2</v>
      </c>
      <c r="J31" s="220" t="s">
        <v>3</v>
      </c>
      <c r="K31" s="220" t="s">
        <v>4</v>
      </c>
      <c r="L31" s="221" t="s">
        <v>306</v>
      </c>
      <c r="M31" t="s">
        <v>252</v>
      </c>
      <c r="W31" s="69"/>
      <c r="X31" s="69"/>
      <c r="Y31" s="69"/>
      <c r="Z31" s="69"/>
    </row>
    <row r="32" spans="1:26" x14ac:dyDescent="0.3">
      <c r="A32" s="41"/>
      <c r="B32" s="2" t="s">
        <v>285</v>
      </c>
      <c r="C32" s="14">
        <f>0.00004*(15^2.3241)</f>
        <v>2.1647795992049652E-2</v>
      </c>
      <c r="D32" s="14">
        <f>0.00004*(25^2.3241)</f>
        <v>7.0959797175794467E-2</v>
      </c>
      <c r="E32" s="14">
        <f>0.00004*(35^2.3241)</f>
        <v>0.1551059768404347</v>
      </c>
      <c r="F32" s="14">
        <f>0.00004*(45^2.3241)</f>
        <v>0.27815776913998619</v>
      </c>
      <c r="G32" s="14">
        <f>0.00004*(15^2.3241)</f>
        <v>2.1647795992049652E-2</v>
      </c>
      <c r="H32" s="14">
        <f>0.00004*(25^2.3241)</f>
        <v>7.0959797175794467E-2</v>
      </c>
      <c r="I32" s="14">
        <f>0.00004*(35^2.3241)</f>
        <v>0.1551059768404347</v>
      </c>
      <c r="J32" s="14">
        <f>0.00004*(45^2.3241)</f>
        <v>0.27815776913998619</v>
      </c>
      <c r="K32" s="14">
        <f>0.00004*(55^2.3241)</f>
        <v>0.4434420956221457</v>
      </c>
      <c r="L32" s="17">
        <f>0.00004*(65^2.3241)</f>
        <v>0.65381054902135716</v>
      </c>
      <c r="M32" s="248" t="s">
        <v>249</v>
      </c>
      <c r="N32" s="241">
        <v>2.1270000000000001E-2</v>
      </c>
      <c r="O32" s="15">
        <v>0.12267</v>
      </c>
      <c r="P32" s="15">
        <v>0.13586749999999997</v>
      </c>
      <c r="Q32" s="15">
        <v>0.398725</v>
      </c>
      <c r="R32" s="15">
        <v>2.1270000000000001E-2</v>
      </c>
      <c r="S32" s="15">
        <v>0.12267</v>
      </c>
      <c r="T32" s="15">
        <v>0.13586749999999997</v>
      </c>
      <c r="U32" s="15">
        <v>0.398725</v>
      </c>
      <c r="V32" s="16">
        <v>0.49721250000000006</v>
      </c>
      <c r="W32" s="69"/>
      <c r="X32" s="69"/>
      <c r="Y32" s="69"/>
      <c r="Z32" s="69"/>
    </row>
    <row r="33" spans="1:26" x14ac:dyDescent="0.3">
      <c r="A33" s="11"/>
      <c r="B33" s="2" t="s">
        <v>180</v>
      </c>
      <c r="C33">
        <f>0.00005*(15^2.2923)</f>
        <v>2.4826985893273708E-2</v>
      </c>
      <c r="D33">
        <f>0.00005*(25^2.2923)</f>
        <v>8.0069641904287656E-2</v>
      </c>
      <c r="E33">
        <f>0.00005*(35^2.2923)</f>
        <v>0.17315585550385809</v>
      </c>
      <c r="F33">
        <f>0.00005*(45^2.2923)</f>
        <v>0.30805555859243178</v>
      </c>
      <c r="G33">
        <f>0.00005*(15^2.2923)</f>
        <v>2.4826985893273708E-2</v>
      </c>
      <c r="H33">
        <f>0.00005*(25^2.2923)</f>
        <v>8.0069641904287656E-2</v>
      </c>
      <c r="I33">
        <f>0.00005*(35^2.2923)</f>
        <v>0.17315585550385809</v>
      </c>
      <c r="J33">
        <f>0.00005*(45^2.2923)</f>
        <v>0.30805555859243178</v>
      </c>
      <c r="K33">
        <f>0.00005*(55^2.2923)</f>
        <v>0.48798154472639399</v>
      </c>
      <c r="L33" s="34">
        <f>0.00005*(65^2.2923)</f>
        <v>0.7156674939900538</v>
      </c>
      <c r="M33" s="248" t="s">
        <v>250</v>
      </c>
      <c r="N33" s="11">
        <v>5.5217999999999996E-2</v>
      </c>
      <c r="O33">
        <v>0.10611264705882352</v>
      </c>
      <c r="P33">
        <v>0.2333569565217391</v>
      </c>
      <c r="Q33">
        <v>0.37318200000000001</v>
      </c>
      <c r="R33">
        <v>5.5217999999999996E-2</v>
      </c>
      <c r="S33">
        <v>0.10611264705882352</v>
      </c>
      <c r="T33">
        <v>0.2333569565217391</v>
      </c>
      <c r="U33">
        <v>0.37318200000000001</v>
      </c>
      <c r="V33" s="34">
        <v>0.50448000000000004</v>
      </c>
      <c r="W33" t="s">
        <v>248</v>
      </c>
    </row>
    <row r="34" spans="1:26" x14ac:dyDescent="0.3">
      <c r="A34" s="11"/>
      <c r="B34" s="2" t="s">
        <v>7</v>
      </c>
      <c r="C34">
        <f>0.0006*EXP(0.0865*15)</f>
        <v>2.1960809297716746E-3</v>
      </c>
      <c r="D34">
        <f>0.0006*EXP(0.0865*25)</f>
        <v>5.2157055735060007E-3</v>
      </c>
      <c r="E34">
        <f>0.0006*EXP(0.0865*35)</f>
        <v>1.2387332479741497E-2</v>
      </c>
      <c r="F34" s="45"/>
      <c r="G34">
        <f>0.0006*EXP(0.0865*15)</f>
        <v>2.1960809297716746E-3</v>
      </c>
      <c r="H34">
        <f>0.0006*EXP(0.0865*25)</f>
        <v>5.2157055735060007E-3</v>
      </c>
      <c r="I34">
        <f>0.0006*EXP(0.0865*35)</f>
        <v>1.2387332479741497E-2</v>
      </c>
      <c r="J34">
        <f>0.0006*EXP(0.0865*45)</f>
        <v>2.9419990028407995E-2</v>
      </c>
      <c r="K34" s="45"/>
      <c r="L34" s="47"/>
      <c r="M34" s="248" t="s">
        <v>251</v>
      </c>
      <c r="N34" s="5">
        <v>2.7130000000000006E-3</v>
      </c>
      <c r="O34" s="231">
        <v>5.6849333333333337E-3</v>
      </c>
      <c r="P34" s="231"/>
      <c r="Q34" s="238"/>
      <c r="R34" s="231">
        <v>2.7130000000000006E-3</v>
      </c>
      <c r="S34" s="231">
        <v>5.6849333333333337E-3</v>
      </c>
      <c r="T34" s="231"/>
      <c r="U34" s="238"/>
      <c r="V34" s="203"/>
    </row>
    <row r="35" spans="1:26" ht="14.55" customHeight="1" x14ac:dyDescent="0.3">
      <c r="A35" s="66" t="s">
        <v>295</v>
      </c>
      <c r="B35" s="26" t="s">
        <v>37</v>
      </c>
      <c r="C35" s="1">
        <v>15</v>
      </c>
      <c r="D35" s="1">
        <v>25</v>
      </c>
      <c r="E35" s="1">
        <v>35</v>
      </c>
      <c r="F35" s="1">
        <v>45</v>
      </c>
      <c r="G35" s="1">
        <v>15</v>
      </c>
      <c r="H35" s="1">
        <v>25</v>
      </c>
      <c r="I35" s="1">
        <v>35</v>
      </c>
      <c r="J35" s="1">
        <v>45</v>
      </c>
      <c r="K35" s="1">
        <v>55</v>
      </c>
      <c r="L35" s="43">
        <v>65</v>
      </c>
      <c r="M35" t="s">
        <v>296</v>
      </c>
      <c r="N35" s="1" t="s">
        <v>169</v>
      </c>
      <c r="O35" s="1" t="s">
        <v>170</v>
      </c>
      <c r="P35" s="69"/>
      <c r="Q35" s="69"/>
      <c r="R35" s="69"/>
      <c r="S35" s="69"/>
      <c r="T35" s="69"/>
      <c r="U35" s="69"/>
      <c r="V35" s="69"/>
    </row>
    <row r="36" spans="1:26" ht="14.55" customHeight="1" x14ac:dyDescent="0.3">
      <c r="A36" s="249"/>
      <c r="B36" s="192" t="s">
        <v>8</v>
      </c>
      <c r="C36" s="279">
        <f>$N36*C$35^$O36</f>
        <v>9.2036800136561011E-3</v>
      </c>
      <c r="D36" s="279">
        <f>$N36*D$35^$O36</f>
        <v>2.7433052696071977E-2</v>
      </c>
      <c r="E36" s="279">
        <f>$N36*E$35^$O36</f>
        <v>5.6324309727252067E-2</v>
      </c>
      <c r="F36" s="14">
        <f t="shared" ref="F36:L37" si="0">$N36*F$35^$O36</f>
        <v>9.6393278948291181E-2</v>
      </c>
      <c r="G36" s="14">
        <f t="shared" si="0"/>
        <v>9.2036800136561011E-3</v>
      </c>
      <c r="H36" s="14">
        <f t="shared" si="0"/>
        <v>2.7433052696071977E-2</v>
      </c>
      <c r="I36" s="14">
        <f t="shared" si="0"/>
        <v>5.6324309727252067E-2</v>
      </c>
      <c r="J36" s="14">
        <f t="shared" si="0"/>
        <v>9.6393278948291181E-2</v>
      </c>
      <c r="K36" s="14">
        <f t="shared" si="0"/>
        <v>0.14803821140819862</v>
      </c>
      <c r="L36" s="17">
        <f t="shared" si="0"/>
        <v>0.21158611074753053</v>
      </c>
      <c r="M36" s="248" t="s">
        <v>289</v>
      </c>
      <c r="N36" s="280">
        <v>2.815E-5</v>
      </c>
      <c r="O36">
        <v>2.1379999999999999</v>
      </c>
      <c r="P36" s="69"/>
      <c r="Q36" s="69"/>
      <c r="R36" s="69"/>
      <c r="S36" s="69"/>
      <c r="T36" s="69"/>
      <c r="U36" s="69"/>
      <c r="V36" s="69"/>
    </row>
    <row r="37" spans="1:26" ht="14.55" customHeight="1" x14ac:dyDescent="0.3">
      <c r="A37" s="5"/>
      <c r="B37" s="273" t="s">
        <v>7</v>
      </c>
      <c r="C37" s="231">
        <f t="shared" ref="C37:E37" si="1">$N37*C$35^$O37</f>
        <v>1.9313032718371716E-3</v>
      </c>
      <c r="D37" s="231">
        <f t="shared" si="1"/>
        <v>4.6166233421578847E-3</v>
      </c>
      <c r="E37" s="231">
        <f t="shared" si="1"/>
        <v>8.1963193621342068E-3</v>
      </c>
      <c r="F37" s="238"/>
      <c r="G37" s="231">
        <f t="shared" si="0"/>
        <v>1.9313032718371716E-3</v>
      </c>
      <c r="H37" s="231">
        <f t="shared" si="0"/>
        <v>4.6166233421578847E-3</v>
      </c>
      <c r="I37" s="231">
        <f t="shared" si="0"/>
        <v>8.1963193621342068E-3</v>
      </c>
      <c r="J37" s="231">
        <f t="shared" si="0"/>
        <v>1.2584018172795412E-2</v>
      </c>
      <c r="K37" s="238"/>
      <c r="L37" s="203"/>
      <c r="M37" s="248" t="s">
        <v>290</v>
      </c>
      <c r="N37" s="280">
        <v>1.9029999999999999E-5</v>
      </c>
      <c r="O37">
        <v>1.706</v>
      </c>
      <c r="P37" s="69"/>
      <c r="Q37" s="69"/>
      <c r="R37" s="69"/>
      <c r="S37" s="69"/>
      <c r="T37" s="69"/>
      <c r="U37" s="69"/>
      <c r="V37" s="69"/>
    </row>
    <row r="38" spans="1:26" x14ac:dyDescent="0.3">
      <c r="M38" s="249"/>
    </row>
    <row r="39" spans="1:26" ht="18.75" customHeight="1" x14ac:dyDescent="0.35">
      <c r="A39" s="313" t="s">
        <v>41</v>
      </c>
      <c r="B39" s="314"/>
      <c r="C39" s="310" t="s">
        <v>13</v>
      </c>
      <c r="D39" s="311"/>
      <c r="E39" s="311"/>
      <c r="F39" s="312"/>
      <c r="G39" s="310" t="s">
        <v>14</v>
      </c>
      <c r="H39" s="311"/>
      <c r="I39" s="311"/>
      <c r="J39" s="311"/>
      <c r="K39" s="311"/>
      <c r="L39" s="312"/>
      <c r="M39" s="257"/>
      <c r="N39" s="257"/>
      <c r="O39" s="257"/>
      <c r="P39" s="257"/>
      <c r="Q39" s="257"/>
      <c r="R39" s="257"/>
      <c r="S39" s="257"/>
      <c r="T39" s="257"/>
      <c r="U39" s="257"/>
      <c r="V39" s="257"/>
      <c r="W39" s="257"/>
      <c r="X39" s="257"/>
      <c r="Y39" s="257"/>
      <c r="Z39" s="257"/>
    </row>
    <row r="40" spans="1:26" ht="15" customHeight="1" x14ac:dyDescent="0.3">
      <c r="A40" s="71" t="s">
        <v>27</v>
      </c>
      <c r="B40" s="72" t="s">
        <v>92</v>
      </c>
      <c r="C40" s="21" t="s">
        <v>0</v>
      </c>
      <c r="D40" s="22" t="s">
        <v>1</v>
      </c>
      <c r="E40" s="22" t="s">
        <v>2</v>
      </c>
      <c r="F40" s="23" t="s">
        <v>3</v>
      </c>
      <c r="G40" s="21" t="s">
        <v>0</v>
      </c>
      <c r="H40" s="22" t="s">
        <v>1</v>
      </c>
      <c r="I40" s="22" t="s">
        <v>2</v>
      </c>
      <c r="J40" s="22" t="s">
        <v>3</v>
      </c>
      <c r="K40" s="22" t="s">
        <v>4</v>
      </c>
      <c r="L40" s="23" t="s">
        <v>303</v>
      </c>
      <c r="M40" s="257"/>
      <c r="N40" s="257"/>
      <c r="O40" s="257"/>
      <c r="P40" s="257"/>
      <c r="Q40" s="257"/>
      <c r="R40" s="257"/>
      <c r="S40" s="257"/>
      <c r="T40" s="257"/>
      <c r="U40" s="257"/>
      <c r="V40" s="257"/>
      <c r="W40" s="257"/>
      <c r="X40" s="257"/>
      <c r="Y40" s="257"/>
      <c r="Z40" s="257"/>
    </row>
    <row r="41" spans="1:26" x14ac:dyDescent="0.3">
      <c r="A41" s="36" t="s">
        <v>6</v>
      </c>
      <c r="B41" s="37" t="s">
        <v>34</v>
      </c>
      <c r="C41" s="94" t="s">
        <v>81</v>
      </c>
      <c r="D41" s="94" t="s">
        <v>56</v>
      </c>
      <c r="E41" s="94" t="s">
        <v>57</v>
      </c>
      <c r="F41" s="94" t="s">
        <v>98</v>
      </c>
      <c r="G41" s="111" t="s">
        <v>81</v>
      </c>
      <c r="H41" s="111" t="s">
        <v>56</v>
      </c>
      <c r="I41" s="111" t="s">
        <v>57</v>
      </c>
      <c r="J41" s="111" t="s">
        <v>98</v>
      </c>
      <c r="K41" s="111" t="s">
        <v>99</v>
      </c>
      <c r="L41" s="304" t="s">
        <v>307</v>
      </c>
      <c r="M41" s="93" t="s">
        <v>114</v>
      </c>
      <c r="N41" s="80"/>
      <c r="O41" s="80"/>
      <c r="P41" s="80"/>
      <c r="Q41" s="80"/>
      <c r="R41" s="80"/>
      <c r="S41" s="80"/>
      <c r="T41" s="80"/>
      <c r="U41" s="80"/>
      <c r="V41" s="80"/>
      <c r="W41" s="80"/>
      <c r="X41" s="80"/>
      <c r="Y41" s="80"/>
      <c r="Z41" s="80"/>
    </row>
    <row r="42" spans="1:26" x14ac:dyDescent="0.3">
      <c r="A42" s="11"/>
      <c r="B42" s="2" t="s">
        <v>30</v>
      </c>
      <c r="C42" s="14">
        <f>0.00006*EXP(0.0553*15)</f>
        <v>1.3753034205066732E-4</v>
      </c>
      <c r="D42" s="14">
        <f>0.00006*EXP(0.0553*25)</f>
        <v>2.3909107880933103E-4</v>
      </c>
      <c r="E42" s="14">
        <f>0.00006*EXP(0.0553*35)</f>
        <v>4.1565041658334447E-4</v>
      </c>
      <c r="F42" s="14">
        <f>0.00006*EXP(0.0553*45)</f>
        <v>7.2259186610506589E-4</v>
      </c>
      <c r="G42" s="14">
        <f>0.00006*EXP(0.0553*15)</f>
        <v>1.3753034205066732E-4</v>
      </c>
      <c r="H42" s="14">
        <f>0.00006*EXP(0.0553*25)</f>
        <v>2.3909107880933103E-4</v>
      </c>
      <c r="I42" s="14">
        <f>0.00006*EXP(0.0553*35)</f>
        <v>4.1565041658334447E-4</v>
      </c>
      <c r="J42" s="14">
        <f>0.00006*EXP(0.0553*45)</f>
        <v>7.2259186610506589E-4</v>
      </c>
      <c r="K42" s="14">
        <f>0.00006*EXP(0.0553*55)</f>
        <v>1.2561974778064588E-3</v>
      </c>
      <c r="L42" s="76"/>
      <c r="M42" t="s">
        <v>102</v>
      </c>
      <c r="Q42" s="14"/>
      <c r="R42" s="14"/>
      <c r="S42" s="78"/>
      <c r="T42" s="78"/>
      <c r="U42" s="78"/>
      <c r="V42" s="14"/>
      <c r="W42" s="14"/>
      <c r="X42" s="14"/>
      <c r="Y42" s="14"/>
    </row>
    <row r="43" spans="1:26" x14ac:dyDescent="0.3">
      <c r="A43" s="11"/>
      <c r="B43" s="2" t="s">
        <v>25</v>
      </c>
      <c r="C43" s="14">
        <f>0.000003*(15^1.3379)</f>
        <v>1.123605225299022E-4</v>
      </c>
      <c r="D43" s="14">
        <f>0.000003*(25^1.3379)</f>
        <v>2.2254876692005522E-4</v>
      </c>
      <c r="E43" s="14">
        <f>0.000003*(35^1.3379)</f>
        <v>3.4908395783551412E-4</v>
      </c>
      <c r="F43" s="14">
        <f>0.000003*(45^1.3379)</f>
        <v>4.8860091608099562E-4</v>
      </c>
      <c r="G43" s="14">
        <f>0.000003*(15^1.3379)</f>
        <v>1.123605225299022E-4</v>
      </c>
      <c r="H43" s="14">
        <f>0.000003*(25^1.3379)</f>
        <v>2.2254876692005522E-4</v>
      </c>
      <c r="I43" s="14">
        <f>0.000003*(35^1.3379)</f>
        <v>3.4908395783551412E-4</v>
      </c>
      <c r="J43" s="14">
        <f>0.000003*(45^1.3379)</f>
        <v>4.8860091608099562E-4</v>
      </c>
      <c r="K43" s="74"/>
      <c r="L43" s="76"/>
      <c r="M43" t="s">
        <v>103</v>
      </c>
      <c r="Q43" s="14"/>
      <c r="R43" s="14"/>
      <c r="S43" s="78"/>
      <c r="T43" s="14"/>
      <c r="U43" s="78"/>
      <c r="V43" s="14"/>
      <c r="W43" s="14"/>
      <c r="X43" s="14"/>
      <c r="Y43" s="14"/>
    </row>
    <row r="44" spans="1:26" x14ac:dyDescent="0.3">
      <c r="A44" s="11"/>
      <c r="B44" s="2" t="s">
        <v>20</v>
      </c>
      <c r="C44" s="14">
        <f>0.00002*EXP(0.084*15)</f>
        <v>7.0508429747307655E-5</v>
      </c>
      <c r="D44" s="14">
        <f>0.00002*EXP(0.084*25)</f>
        <v>1.6332339825135306E-4</v>
      </c>
      <c r="E44" s="14">
        <f>0.00002*EXP(0.084*35)</f>
        <v>3.7831692624510098E-4</v>
      </c>
      <c r="F44" s="14">
        <f>0.00002*EXP(0.084*45)</f>
        <v>8.7632083471147972E-4</v>
      </c>
      <c r="G44" s="14">
        <f>0.00002*EXP(0.084*15)</f>
        <v>7.0508429747307655E-5</v>
      </c>
      <c r="H44" s="14">
        <f>0.00002*EXP(0.084*25)</f>
        <v>1.6332339825135306E-4</v>
      </c>
      <c r="I44" s="14">
        <f>0.00002*EXP(0.084*35)</f>
        <v>3.7831692624510098E-4</v>
      </c>
      <c r="J44" s="14">
        <f>0.00002*EXP(0.084*45)</f>
        <v>8.7632083471147972E-4</v>
      </c>
      <c r="K44" s="14">
        <f>0.00002*EXP(0.084*55)</f>
        <v>2.0298806425909127E-3</v>
      </c>
      <c r="L44" s="17">
        <f>0.00002*EXP(0.084*65)</f>
        <v>4.7019484873047721E-3</v>
      </c>
      <c r="M44" t="s">
        <v>104</v>
      </c>
      <c r="Q44" s="14"/>
      <c r="R44" s="14"/>
      <c r="S44" s="14"/>
      <c r="T44" s="14"/>
      <c r="U44" s="78"/>
      <c r="V44" s="78"/>
      <c r="W44" s="78"/>
      <c r="X44" s="78"/>
      <c r="Y44" s="14"/>
    </row>
    <row r="45" spans="1:26" x14ac:dyDescent="0.3">
      <c r="A45" s="11"/>
      <c r="B45" s="2"/>
      <c r="C45" s="14"/>
      <c r="D45" s="14"/>
      <c r="E45" s="14"/>
      <c r="F45" s="14"/>
      <c r="G45" s="78"/>
      <c r="H45" s="78"/>
      <c r="I45" s="78"/>
      <c r="J45" s="78"/>
      <c r="K45" s="14"/>
      <c r="L45" s="17"/>
    </row>
    <row r="46" spans="1:26" ht="15" customHeight="1" x14ac:dyDescent="0.3">
      <c r="A46" s="42" t="s">
        <v>24</v>
      </c>
      <c r="B46" s="26" t="s">
        <v>36</v>
      </c>
      <c r="C46" s="81" t="s">
        <v>81</v>
      </c>
      <c r="D46" s="81" t="s">
        <v>56</v>
      </c>
      <c r="E46" s="81" t="s">
        <v>57</v>
      </c>
      <c r="F46" s="81"/>
      <c r="G46" s="81" t="s">
        <v>81</v>
      </c>
      <c r="H46" s="81" t="s">
        <v>56</v>
      </c>
      <c r="I46" s="81" t="s">
        <v>57</v>
      </c>
      <c r="J46" s="81"/>
      <c r="K46" s="81"/>
      <c r="L46" s="82"/>
      <c r="M46" s="4" t="s">
        <v>106</v>
      </c>
      <c r="N46" s="4"/>
      <c r="O46" s="4"/>
      <c r="P46" s="4"/>
      <c r="Q46" s="4"/>
      <c r="R46" s="4"/>
      <c r="S46" s="4"/>
      <c r="T46" s="4"/>
      <c r="U46" s="4"/>
      <c r="V46" s="4"/>
      <c r="W46" s="4"/>
      <c r="X46" s="79"/>
      <c r="Y46" s="79"/>
      <c r="Z46" s="79"/>
    </row>
    <row r="47" spans="1:26" ht="15" customHeight="1" x14ac:dyDescent="0.3">
      <c r="A47" s="11"/>
      <c r="B47" s="2" t="s">
        <v>25</v>
      </c>
      <c r="C47" s="14">
        <v>1.1255862906083194E-4</v>
      </c>
      <c r="D47" s="14">
        <v>7.1962138469184483E-4</v>
      </c>
      <c r="E47" s="14">
        <v>2.4649648062089937E-3</v>
      </c>
      <c r="F47" s="74"/>
      <c r="G47" s="14">
        <v>1.7701527989053909E-4</v>
      </c>
      <c r="H47" s="14">
        <v>1.1317122631051234E-3</v>
      </c>
      <c r="I47" s="14">
        <v>3.8765258490808105E-3</v>
      </c>
      <c r="J47" s="74"/>
      <c r="K47" s="74"/>
      <c r="L47" s="76"/>
      <c r="M47" s="4"/>
      <c r="N47" s="4"/>
      <c r="O47" s="4"/>
      <c r="P47" s="4"/>
      <c r="Q47" s="4"/>
      <c r="R47" s="4"/>
      <c r="S47" s="4"/>
      <c r="T47" s="4"/>
      <c r="U47" s="4"/>
      <c r="V47" s="4"/>
      <c r="W47" s="4"/>
      <c r="X47" s="79"/>
      <c r="Y47" s="79"/>
      <c r="Z47" s="79"/>
    </row>
    <row r="48" spans="1:26" x14ac:dyDescent="0.3">
      <c r="A48" s="41"/>
      <c r="B48" s="2"/>
      <c r="C48" s="4"/>
      <c r="D48" s="4"/>
      <c r="E48" s="4"/>
      <c r="F48" s="4"/>
      <c r="G48" s="4"/>
      <c r="H48" s="4"/>
      <c r="I48" s="4"/>
      <c r="J48" s="4"/>
      <c r="K48" s="4"/>
      <c r="L48" s="12"/>
      <c r="M48" s="79"/>
      <c r="N48" s="79"/>
      <c r="O48" s="79"/>
      <c r="P48" s="79"/>
      <c r="Q48" s="79"/>
      <c r="R48" s="79"/>
      <c r="S48" s="79"/>
      <c r="T48" s="79"/>
      <c r="U48" s="79"/>
      <c r="V48" s="79"/>
      <c r="W48" s="79"/>
      <c r="X48" s="79"/>
      <c r="Y48" s="79"/>
      <c r="Z48" s="79"/>
    </row>
    <row r="49" spans="1:26" ht="15" customHeight="1" x14ac:dyDescent="0.3">
      <c r="A49" s="42" t="s">
        <v>50</v>
      </c>
      <c r="B49" s="26" t="s">
        <v>45</v>
      </c>
      <c r="C49" s="48" t="s">
        <v>0</v>
      </c>
      <c r="D49" s="48" t="s">
        <v>1</v>
      </c>
      <c r="E49" s="48" t="s">
        <v>2</v>
      </c>
      <c r="F49" s="48" t="s">
        <v>3</v>
      </c>
      <c r="G49" s="48" t="s">
        <v>0</v>
      </c>
      <c r="H49" s="48" t="s">
        <v>1</v>
      </c>
      <c r="I49" s="48" t="s">
        <v>2</v>
      </c>
      <c r="J49" s="48" t="s">
        <v>3</v>
      </c>
      <c r="K49" s="48"/>
      <c r="L49" s="64"/>
      <c r="M49" s="321" t="s">
        <v>97</v>
      </c>
      <c r="N49" s="321"/>
      <c r="O49" s="321"/>
      <c r="P49" s="321"/>
      <c r="Q49" s="321"/>
      <c r="R49" s="321"/>
      <c r="S49" s="321"/>
      <c r="T49" s="321"/>
      <c r="U49" s="321"/>
      <c r="V49" s="321"/>
      <c r="W49" s="321"/>
      <c r="X49" s="321"/>
      <c r="Y49" s="321"/>
      <c r="Z49" s="321"/>
    </row>
    <row r="50" spans="1:26" x14ac:dyDescent="0.3">
      <c r="A50" s="11"/>
      <c r="B50" s="2" t="s">
        <v>46</v>
      </c>
      <c r="C50" s="75"/>
      <c r="D50" s="75"/>
      <c r="E50" s="75">
        <v>8.9999999999999993E-3</v>
      </c>
      <c r="F50" s="83"/>
      <c r="G50" s="75"/>
      <c r="H50" s="75"/>
      <c r="I50" s="75">
        <v>8.9999999999999993E-3</v>
      </c>
      <c r="J50" s="44"/>
      <c r="K50" s="31"/>
      <c r="L50" s="32"/>
      <c r="M50" s="69"/>
      <c r="N50" s="69"/>
      <c r="O50" s="69"/>
      <c r="P50" s="69"/>
      <c r="Q50" s="69"/>
      <c r="R50" s="69"/>
      <c r="S50" s="69"/>
      <c r="T50" s="69"/>
      <c r="U50" s="69"/>
      <c r="V50" s="69"/>
      <c r="W50" s="69"/>
      <c r="X50" s="69"/>
      <c r="Y50" s="69"/>
      <c r="Z50" s="69"/>
    </row>
    <row r="51" spans="1:26" x14ac:dyDescent="0.3">
      <c r="A51" s="41"/>
      <c r="B51" s="2" t="s">
        <v>30</v>
      </c>
      <c r="C51" s="75"/>
      <c r="D51" s="75"/>
      <c r="E51" s="75"/>
      <c r="F51" s="75">
        <v>1.0999999999999999E-2</v>
      </c>
      <c r="G51" s="75"/>
      <c r="H51" s="75"/>
      <c r="I51" s="75"/>
      <c r="J51" s="75">
        <v>1.0999999999999999E-2</v>
      </c>
      <c r="K51" s="83">
        <v>1.0999999999999999E-2</v>
      </c>
      <c r="L51" s="269"/>
    </row>
    <row r="52" spans="1:26" x14ac:dyDescent="0.3">
      <c r="A52" s="11"/>
      <c r="B52" s="2" t="s">
        <v>32</v>
      </c>
      <c r="C52" s="75"/>
      <c r="D52" s="75"/>
      <c r="E52" s="75"/>
      <c r="F52" s="75"/>
      <c r="G52" s="75"/>
      <c r="H52" s="75"/>
      <c r="I52" s="75"/>
      <c r="J52" s="75"/>
      <c r="K52" s="75">
        <v>6.3E-2</v>
      </c>
      <c r="L52" s="85"/>
    </row>
    <row r="53" spans="1:26" x14ac:dyDescent="0.3">
      <c r="A53" s="11"/>
      <c r="B53" s="2" t="s">
        <v>25</v>
      </c>
      <c r="C53" s="75"/>
      <c r="D53" s="75">
        <v>2E-3</v>
      </c>
      <c r="E53" s="75"/>
      <c r="F53" s="83"/>
      <c r="G53" s="75"/>
      <c r="H53" s="75">
        <v>2E-3</v>
      </c>
      <c r="I53" s="75"/>
      <c r="J53" s="31"/>
      <c r="K53" s="31"/>
      <c r="L53" s="32"/>
      <c r="M53" t="s">
        <v>96</v>
      </c>
    </row>
    <row r="54" spans="1:26" x14ac:dyDescent="0.3">
      <c r="A54" s="11"/>
      <c r="B54" s="2"/>
      <c r="C54" s="75"/>
      <c r="D54" s="75"/>
      <c r="E54" s="75"/>
      <c r="F54" s="75"/>
      <c r="G54" s="75"/>
      <c r="H54" s="75"/>
      <c r="I54" s="75"/>
      <c r="J54" s="4"/>
      <c r="K54" s="4"/>
      <c r="L54" s="12"/>
    </row>
    <row r="55" spans="1:26" x14ac:dyDescent="0.3">
      <c r="A55" s="42" t="s">
        <v>177</v>
      </c>
      <c r="B55" s="26" t="s">
        <v>38</v>
      </c>
      <c r="C55" s="81" t="s">
        <v>81</v>
      </c>
      <c r="D55" s="81" t="s">
        <v>56</v>
      </c>
      <c r="E55" s="81" t="s">
        <v>57</v>
      </c>
      <c r="F55" s="81"/>
      <c r="G55" s="81" t="s">
        <v>81</v>
      </c>
      <c r="H55" s="81" t="s">
        <v>56</v>
      </c>
      <c r="I55" s="81" t="s">
        <v>57</v>
      </c>
      <c r="J55" s="81"/>
      <c r="K55" s="81"/>
      <c r="L55" s="82"/>
      <c r="M55" t="s">
        <v>247</v>
      </c>
    </row>
    <row r="56" spans="1:26" x14ac:dyDescent="0.3">
      <c r="A56" s="11"/>
      <c r="B56" s="2" t="s">
        <v>76</v>
      </c>
      <c r="C56" s="77">
        <f>0.000002*(15^2.175)</f>
        <v>7.2281720952295015E-4</v>
      </c>
      <c r="D56" s="77">
        <f>0.000002*(25^2.175)</f>
        <v>2.1955812561825325E-3</v>
      </c>
      <c r="E56" s="77">
        <f>0.000002*(35^2.175)</f>
        <v>4.5643400458079669E-3</v>
      </c>
      <c r="F56" s="189"/>
      <c r="G56" s="77">
        <f>0.000002*(15^2.175)</f>
        <v>7.2281720952295015E-4</v>
      </c>
      <c r="H56" s="77">
        <f>0.000002*(25^2.175)</f>
        <v>2.1955812561825325E-3</v>
      </c>
      <c r="I56" s="77">
        <f>0.000002*(35^2.175)</f>
        <v>4.5643400458079669E-3</v>
      </c>
      <c r="J56" s="189"/>
      <c r="K56" s="189"/>
      <c r="L56" s="190"/>
      <c r="M56" t="s">
        <v>182</v>
      </c>
      <c r="N56" s="35"/>
    </row>
    <row r="57" spans="1:26" x14ac:dyDescent="0.3">
      <c r="A57" s="11"/>
      <c r="B57" s="2"/>
      <c r="C57" s="14"/>
      <c r="D57" s="14"/>
      <c r="E57" s="14"/>
      <c r="F57" s="14"/>
      <c r="G57" s="14"/>
      <c r="H57" s="14"/>
      <c r="I57" s="14"/>
      <c r="J57" s="14"/>
      <c r="K57" s="14"/>
      <c r="L57" s="17"/>
    </row>
    <row r="58" spans="1:26" x14ac:dyDescent="0.3">
      <c r="A58" s="42" t="s">
        <v>22</v>
      </c>
      <c r="B58" s="26" t="s">
        <v>35</v>
      </c>
      <c r="C58" s="81" t="s">
        <v>81</v>
      </c>
      <c r="D58" s="81" t="s">
        <v>56</v>
      </c>
      <c r="E58" s="81" t="s">
        <v>57</v>
      </c>
      <c r="F58" s="81" t="s">
        <v>98</v>
      </c>
      <c r="G58" s="81" t="s">
        <v>81</v>
      </c>
      <c r="H58" s="81" t="s">
        <v>56</v>
      </c>
      <c r="I58" s="81" t="s">
        <v>57</v>
      </c>
      <c r="J58" s="81" t="s">
        <v>98</v>
      </c>
      <c r="K58" s="81" t="s">
        <v>99</v>
      </c>
      <c r="L58" s="82" t="s">
        <v>307</v>
      </c>
      <c r="M58" s="93" t="s">
        <v>114</v>
      </c>
    </row>
    <row r="59" spans="1:26" x14ac:dyDescent="0.3">
      <c r="A59" s="11"/>
      <c r="B59" s="2" t="s">
        <v>20</v>
      </c>
      <c r="C59" s="229">
        <f>0.0000003*(15^3.215)</f>
        <v>1.8124025000710257E-3</v>
      </c>
      <c r="D59" s="229">
        <f>0.0000003*(25^3.215)</f>
        <v>9.3647973224951636E-3</v>
      </c>
      <c r="E59" s="229">
        <f>0.0000003*(35^3.215)</f>
        <v>2.7624855647112992E-2</v>
      </c>
      <c r="F59" s="229">
        <f>0.0000003*(45^3.215)</f>
        <v>6.1972567118868595E-2</v>
      </c>
      <c r="G59" s="229">
        <f>0.0000003*(15^3.215)</f>
        <v>1.8124025000710257E-3</v>
      </c>
      <c r="H59" s="229">
        <f>0.0000003*(25^3.215)</f>
        <v>9.3647973224951636E-3</v>
      </c>
      <c r="I59" s="229">
        <f>0.0000003*(35^3.215)</f>
        <v>2.7624855647112992E-2</v>
      </c>
      <c r="J59" s="229">
        <f>0.0000003*(45^3.215)</f>
        <v>6.1972567118868595E-2</v>
      </c>
      <c r="K59" s="229">
        <f>0.0000003*(55^3.215)</f>
        <v>0.11813737086315967</v>
      </c>
      <c r="L59" s="230">
        <f>0.0000003*(65^3.215)</f>
        <v>0.20213322089595925</v>
      </c>
      <c r="M59" t="s">
        <v>100</v>
      </c>
    </row>
    <row r="60" spans="1:26" ht="15" customHeight="1" x14ac:dyDescent="0.3">
      <c r="L60" s="34"/>
      <c r="N60" s="240"/>
      <c r="O60" s="240"/>
      <c r="P60" s="240"/>
      <c r="Q60" s="240"/>
      <c r="R60" s="240"/>
      <c r="S60" s="240"/>
      <c r="T60" s="240"/>
      <c r="U60" s="240"/>
      <c r="V60" s="240"/>
      <c r="W60" s="240"/>
      <c r="X60" s="240"/>
      <c r="Y60" s="240"/>
      <c r="Z60" s="69"/>
    </row>
    <row r="61" spans="1:26" ht="15" customHeight="1" x14ac:dyDescent="0.3">
      <c r="A61" s="42" t="s">
        <v>260</v>
      </c>
      <c r="B61" s="26" t="s">
        <v>38</v>
      </c>
      <c r="C61" s="1"/>
      <c r="D61" s="26"/>
      <c r="E61" s="1" t="s">
        <v>259</v>
      </c>
      <c r="F61" s="1"/>
      <c r="G61" s="1"/>
      <c r="H61" s="26"/>
      <c r="I61" s="1" t="s">
        <v>259</v>
      </c>
      <c r="J61" s="1"/>
      <c r="K61" s="26"/>
      <c r="L61" s="46"/>
      <c r="M61" s="240"/>
      <c r="N61" s="240"/>
      <c r="O61" s="240"/>
      <c r="P61" s="240"/>
      <c r="Q61" s="240"/>
      <c r="R61" s="240"/>
      <c r="S61" s="240"/>
      <c r="T61" s="240"/>
      <c r="U61" s="240"/>
      <c r="V61" s="240"/>
      <c r="W61" s="240"/>
      <c r="X61" s="240"/>
      <c r="Y61" s="240"/>
      <c r="Z61" s="69"/>
    </row>
    <row r="62" spans="1:26" ht="15" customHeight="1" x14ac:dyDescent="0.3">
      <c r="A62" s="41"/>
      <c r="B62" s="2" t="s">
        <v>76</v>
      </c>
      <c r="C62" s="14"/>
      <c r="D62" s="14"/>
      <c r="E62" s="77">
        <v>0.14149999999999999</v>
      </c>
      <c r="F62" s="77"/>
      <c r="G62" s="77"/>
      <c r="H62" s="77"/>
      <c r="I62" s="77">
        <v>0.14149999999999999</v>
      </c>
      <c r="J62" s="14"/>
      <c r="K62" s="14"/>
      <c r="L62" s="76"/>
      <c r="M62" s="93" t="s">
        <v>261</v>
      </c>
      <c r="N62" s="69"/>
      <c r="O62" s="69"/>
      <c r="P62" s="69"/>
      <c r="Q62" s="69"/>
      <c r="R62" s="69"/>
      <c r="S62" s="69"/>
      <c r="T62" s="69"/>
      <c r="U62" s="69"/>
      <c r="V62" s="69"/>
      <c r="W62" s="69"/>
      <c r="X62" s="69"/>
      <c r="Y62" s="69"/>
      <c r="Z62" s="69"/>
    </row>
    <row r="63" spans="1:26" x14ac:dyDescent="0.3">
      <c r="A63" s="11"/>
      <c r="B63" s="2"/>
      <c r="C63" s="229"/>
      <c r="D63" s="229"/>
      <c r="E63" s="229"/>
      <c r="F63" s="229"/>
      <c r="G63" s="229"/>
      <c r="H63" s="229"/>
      <c r="I63" s="229"/>
      <c r="J63" s="229"/>
      <c r="K63" s="229"/>
      <c r="L63" s="230"/>
    </row>
    <row r="64" spans="1:26" ht="14.55" customHeight="1" x14ac:dyDescent="0.3">
      <c r="A64" s="42" t="s">
        <v>294</v>
      </c>
      <c r="B64" s="26" t="s">
        <v>217</v>
      </c>
      <c r="C64" s="220" t="s">
        <v>0</v>
      </c>
      <c r="D64" s="220" t="s">
        <v>1</v>
      </c>
      <c r="E64" s="220" t="s">
        <v>2</v>
      </c>
      <c r="F64" s="220" t="s">
        <v>3</v>
      </c>
      <c r="G64" s="220" t="s">
        <v>0</v>
      </c>
      <c r="H64" s="220" t="s">
        <v>1</v>
      </c>
      <c r="I64" s="220" t="s">
        <v>2</v>
      </c>
      <c r="J64" s="220" t="s">
        <v>3</v>
      </c>
      <c r="K64" s="220" t="s">
        <v>4</v>
      </c>
      <c r="L64" s="221" t="s">
        <v>306</v>
      </c>
      <c r="M64" t="s">
        <v>284</v>
      </c>
      <c r="N64" s="69"/>
      <c r="O64" s="69"/>
      <c r="P64" s="69"/>
      <c r="Q64" s="69"/>
      <c r="R64" s="69"/>
      <c r="S64" s="69"/>
      <c r="T64" s="69"/>
      <c r="U64" s="69"/>
      <c r="V64" s="69"/>
    </row>
    <row r="65" spans="1:22" x14ac:dyDescent="0.3">
      <c r="A65" s="41"/>
      <c r="B65" s="192" t="s">
        <v>25</v>
      </c>
      <c r="C65" s="14">
        <f>0.00002*(15^1.5749)</f>
        <v>1.4231678345039227E-3</v>
      </c>
      <c r="D65" s="14">
        <f>0.00002*(25^1.5749)</f>
        <v>3.1816010061666493E-3</v>
      </c>
      <c r="E65" s="14">
        <f>0.00002*(35^1.5749)</f>
        <v>5.4048389632365594E-3</v>
      </c>
      <c r="F65" s="14">
        <f>0.00002*(45^1.5749)</f>
        <v>8.0292389667375227E-3</v>
      </c>
      <c r="G65" s="14">
        <f>0.00002*(15^1.5749)</f>
        <v>1.4231678345039227E-3</v>
      </c>
      <c r="H65" s="14">
        <f>0.00002*(25^1.5749)</f>
        <v>3.1816010061666493E-3</v>
      </c>
      <c r="I65" s="14">
        <f>0.00002*(35^1.5749)</f>
        <v>5.4048389632365594E-3</v>
      </c>
      <c r="J65" s="14">
        <f>0.00002*(45^1.5749)</f>
        <v>8.0292389667375227E-3</v>
      </c>
      <c r="K65" s="74"/>
      <c r="L65" s="76"/>
      <c r="M65" s="242" t="s">
        <v>253</v>
      </c>
      <c r="N65" s="270"/>
      <c r="O65" s="14"/>
      <c r="P65" s="14"/>
      <c r="Q65" s="14"/>
      <c r="R65" s="14"/>
      <c r="S65" s="14"/>
      <c r="T65" s="78"/>
      <c r="U65" s="14"/>
      <c r="V65" s="14"/>
    </row>
    <row r="66" spans="1:22" x14ac:dyDescent="0.3">
      <c r="A66" s="11"/>
      <c r="B66" s="192" t="s">
        <v>219</v>
      </c>
      <c r="C66" s="232" t="s">
        <v>212</v>
      </c>
      <c r="D66" s="232">
        <v>4.3423333333333343E-3</v>
      </c>
      <c r="E66" s="232">
        <v>6.0790000000000002E-3</v>
      </c>
      <c r="F66" s="232"/>
      <c r="G66" s="232" t="s">
        <v>212</v>
      </c>
      <c r="H66" s="232">
        <v>4.3423333333333343E-3</v>
      </c>
      <c r="I66" s="232">
        <v>6.0790000000000002E-3</v>
      </c>
      <c r="J66" s="232" t="s">
        <v>212</v>
      </c>
      <c r="K66" s="229"/>
      <c r="L66" s="245"/>
      <c r="M66" s="243"/>
    </row>
    <row r="67" spans="1:22" x14ac:dyDescent="0.3">
      <c r="A67" s="11"/>
      <c r="B67" s="2" t="s">
        <v>220</v>
      </c>
      <c r="C67" s="232">
        <v>1.8800000000000002E-3</v>
      </c>
      <c r="D67" s="232">
        <v>1.7100000000000001E-3</v>
      </c>
      <c r="E67" s="236"/>
      <c r="F67" s="232" t="s">
        <v>212</v>
      </c>
      <c r="G67" s="232">
        <v>1.8800000000000002E-3</v>
      </c>
      <c r="H67" s="232">
        <v>1.7100000000000001E-3</v>
      </c>
      <c r="I67" s="236"/>
      <c r="J67" s="232" t="s">
        <v>212</v>
      </c>
      <c r="K67" s="229"/>
      <c r="L67" s="245"/>
      <c r="M67" s="243"/>
    </row>
    <row r="68" spans="1:22" x14ac:dyDescent="0.3">
      <c r="A68" s="11"/>
      <c r="B68" s="2" t="s">
        <v>74</v>
      </c>
      <c r="C68" s="232" t="s">
        <v>212</v>
      </c>
      <c r="D68" s="232">
        <v>2.1750000000000003E-3</v>
      </c>
      <c r="E68" s="236">
        <v>2.1750000000000003E-3</v>
      </c>
      <c r="F68" s="232" t="s">
        <v>212</v>
      </c>
      <c r="G68" s="232" t="s">
        <v>212</v>
      </c>
      <c r="H68" s="232">
        <v>2.1750000000000003E-3</v>
      </c>
      <c r="I68" s="236">
        <v>2.1750000000000003E-3</v>
      </c>
      <c r="J68" s="232" t="s">
        <v>212</v>
      </c>
      <c r="K68" s="229"/>
      <c r="L68" s="245"/>
      <c r="M68" s="243"/>
    </row>
    <row r="69" spans="1:22" x14ac:dyDescent="0.3">
      <c r="A69" s="11"/>
      <c r="B69" s="2" t="s">
        <v>221</v>
      </c>
      <c r="C69" s="232" t="s">
        <v>212</v>
      </c>
      <c r="D69" s="232">
        <v>3.5145000000000007E-3</v>
      </c>
      <c r="E69" s="232">
        <v>5.6100000000000004E-3</v>
      </c>
      <c r="F69" s="236">
        <f>E69</f>
        <v>5.6100000000000004E-3</v>
      </c>
      <c r="G69" s="232" t="s">
        <v>212</v>
      </c>
      <c r="H69" s="232">
        <v>3.5145000000000007E-3</v>
      </c>
      <c r="I69" s="232">
        <v>5.6100000000000004E-3</v>
      </c>
      <c r="J69" s="236">
        <f>I69</f>
        <v>5.6100000000000004E-3</v>
      </c>
      <c r="K69" s="229"/>
      <c r="L69" s="245"/>
      <c r="M69" s="243"/>
    </row>
    <row r="70" spans="1:22" x14ac:dyDescent="0.3">
      <c r="A70" s="11"/>
      <c r="B70" s="2" t="s">
        <v>30</v>
      </c>
      <c r="C70" s="232">
        <f>0.00002*15^1.6147</f>
        <v>1.5851287816668115E-3</v>
      </c>
      <c r="D70" s="232">
        <f>0.00002*25^1.6147</f>
        <v>3.6164605141088915E-3</v>
      </c>
      <c r="E70" s="232">
        <f>0.00002*35^1.6147</f>
        <v>6.2263949740256046E-3</v>
      </c>
      <c r="F70" s="232">
        <f>0.00002*45^1.6147</f>
        <v>9.3426965161962517E-3</v>
      </c>
      <c r="G70" s="232">
        <f>0.00002*15^1.6147</f>
        <v>1.5851287816668115E-3</v>
      </c>
      <c r="H70" s="232">
        <f>0.00002*25^1.6147</f>
        <v>3.6164605141088915E-3</v>
      </c>
      <c r="I70" s="232">
        <f>0.00002*35^1.6147</f>
        <v>6.2263949740256046E-3</v>
      </c>
      <c r="J70" s="232">
        <f>0.00002*45^1.6147</f>
        <v>9.3426965161962517E-3</v>
      </c>
      <c r="K70" s="229">
        <f>0.00002*55^1.6147</f>
        <v>1.2917950926632159E-2</v>
      </c>
      <c r="L70" s="245"/>
      <c r="M70" s="242" t="s">
        <v>254</v>
      </c>
      <c r="N70" s="232"/>
      <c r="O70" s="232"/>
      <c r="P70" s="232"/>
      <c r="Q70" s="232"/>
      <c r="R70" s="232"/>
      <c r="S70" s="232"/>
      <c r="T70" s="232"/>
      <c r="U70" s="232"/>
      <c r="V70" s="229"/>
    </row>
    <row r="71" spans="1:22" x14ac:dyDescent="0.3">
      <c r="A71" s="11"/>
      <c r="B71" s="2" t="s">
        <v>32</v>
      </c>
      <c r="C71" s="232" t="s">
        <v>212</v>
      </c>
      <c r="D71" s="232">
        <v>4.8420000000000008E-3</v>
      </c>
      <c r="E71" s="232" t="s">
        <v>212</v>
      </c>
      <c r="F71" s="232" t="s">
        <v>212</v>
      </c>
      <c r="G71" s="232" t="s">
        <v>212</v>
      </c>
      <c r="H71" s="232">
        <v>4.8420000000000008E-3</v>
      </c>
      <c r="I71" s="232" t="s">
        <v>212</v>
      </c>
      <c r="J71" s="232" t="s">
        <v>212</v>
      </c>
      <c r="K71" s="229"/>
      <c r="L71" s="230"/>
      <c r="M71" s="243"/>
    </row>
    <row r="72" spans="1:22" x14ac:dyDescent="0.3">
      <c r="A72" s="11"/>
      <c r="B72" s="2" t="s">
        <v>33</v>
      </c>
      <c r="C72" s="232">
        <v>3.1133333333333338E-3</v>
      </c>
      <c r="D72" s="246">
        <v>3.1133333333333338E-3</v>
      </c>
      <c r="E72" s="232" t="s">
        <v>212</v>
      </c>
      <c r="F72" s="232" t="s">
        <v>212</v>
      </c>
      <c r="G72" s="232">
        <v>3.1133333333333338E-3</v>
      </c>
      <c r="H72" s="246">
        <v>3.1133333333333338E-3</v>
      </c>
      <c r="I72" s="232" t="s">
        <v>212</v>
      </c>
      <c r="J72" s="232" t="s">
        <v>212</v>
      </c>
      <c r="K72" s="229"/>
      <c r="L72" s="245"/>
      <c r="M72" s="243"/>
    </row>
    <row r="73" spans="1:22" x14ac:dyDescent="0.3">
      <c r="A73" s="11"/>
      <c r="B73" s="2" t="s">
        <v>75</v>
      </c>
      <c r="C73" s="232">
        <f>0.0005*EXP(0.0793*15)</f>
        <v>1.6427190387980526E-3</v>
      </c>
      <c r="D73" s="232">
        <f>0.0005*EXP(0.0793*25)</f>
        <v>3.6304362475344239E-3</v>
      </c>
      <c r="E73" s="232">
        <f>0.0005*EXP(0.0793*35)</f>
        <v>8.0233241571580228E-3</v>
      </c>
      <c r="F73" s="244"/>
      <c r="G73" s="232">
        <f>0.0005*EXP(0.0793*15)</f>
        <v>1.6427190387980526E-3</v>
      </c>
      <c r="H73" s="232">
        <f>0.0005*EXP(0.0793*25)</f>
        <v>3.6304362475344239E-3</v>
      </c>
      <c r="I73" s="232">
        <f>0.0005*EXP(0.0793*35)</f>
        <v>8.0233241571580228E-3</v>
      </c>
      <c r="J73" s="244" t="s">
        <v>212</v>
      </c>
      <c r="K73" s="301"/>
      <c r="L73" s="245"/>
      <c r="M73" s="242" t="s">
        <v>255</v>
      </c>
      <c r="N73" s="232"/>
      <c r="O73" s="232"/>
      <c r="P73" s="232"/>
      <c r="Q73" s="232"/>
      <c r="R73" s="232"/>
      <c r="S73" s="232"/>
      <c r="T73" s="232"/>
      <c r="U73" s="232"/>
      <c r="V73" s="229"/>
    </row>
    <row r="74" spans="1:22" x14ac:dyDescent="0.3">
      <c r="A74" s="11"/>
      <c r="B74" s="2" t="s">
        <v>76</v>
      </c>
      <c r="C74" s="232">
        <v>2.928E-3</v>
      </c>
      <c r="D74" s="232" t="s">
        <v>212</v>
      </c>
      <c r="E74" s="232" t="s">
        <v>212</v>
      </c>
      <c r="F74" s="244" t="s">
        <v>212</v>
      </c>
      <c r="G74" s="232">
        <v>2.928E-3</v>
      </c>
      <c r="H74" s="232" t="s">
        <v>212</v>
      </c>
      <c r="I74" s="232" t="s">
        <v>212</v>
      </c>
      <c r="J74" s="244" t="s">
        <v>212</v>
      </c>
      <c r="K74" s="301"/>
      <c r="L74" s="245"/>
      <c r="M74" s="243"/>
    </row>
    <row r="75" spans="1:22" x14ac:dyDescent="0.3">
      <c r="A75" s="11"/>
      <c r="B75" s="2" t="s">
        <v>20</v>
      </c>
      <c r="C75" s="232">
        <f>0.00003*15^1.6843</f>
        <v>2.8708583347396535E-3</v>
      </c>
      <c r="D75" s="232">
        <f>0.00003*25^1.6843</f>
        <v>6.7869025175524593E-3</v>
      </c>
      <c r="E75" s="232">
        <f>0.00003*35^1.6843</f>
        <v>1.1961759375118551E-2</v>
      </c>
      <c r="F75" s="232">
        <f>0.00003*45^1.6843</f>
        <v>1.8265311858412431E-2</v>
      </c>
      <c r="G75" s="232">
        <f>0.00003*15^1.6843</f>
        <v>2.8708583347396535E-3</v>
      </c>
      <c r="H75" s="232">
        <f>0.00003*25^1.6843</f>
        <v>6.7869025175524593E-3</v>
      </c>
      <c r="I75" s="232">
        <f>0.00003*35^1.6843</f>
        <v>1.1961759375118551E-2</v>
      </c>
      <c r="J75" s="232">
        <f>0.00003*45^1.6843</f>
        <v>1.8265311858412431E-2</v>
      </c>
      <c r="K75" s="232">
        <f>0.00003*55^1.6843</f>
        <v>2.5610268556975915E-2</v>
      </c>
      <c r="L75" s="237">
        <f>0.00003*65^1.6843</f>
        <v>3.3932137744510552E-2</v>
      </c>
      <c r="M75" s="242" t="s">
        <v>256</v>
      </c>
      <c r="N75" s="232"/>
      <c r="O75" s="232"/>
      <c r="P75" s="232"/>
      <c r="Q75" s="232"/>
      <c r="R75" s="232"/>
      <c r="S75" s="232"/>
      <c r="T75" s="232"/>
      <c r="U75" s="232"/>
      <c r="V75" s="232"/>
    </row>
    <row r="76" spans="1:22" x14ac:dyDescent="0.3">
      <c r="A76" s="11"/>
      <c r="B76" s="2" t="s">
        <v>77</v>
      </c>
      <c r="C76" s="232">
        <v>9.0000000000000008E-4</v>
      </c>
      <c r="D76" s="232">
        <v>1.9583333333333332E-3</v>
      </c>
      <c r="E76" s="236"/>
      <c r="F76" s="244" t="s">
        <v>212</v>
      </c>
      <c r="G76" s="232">
        <v>9.0000000000000008E-4</v>
      </c>
      <c r="H76" s="232">
        <v>1.9583333333333332E-3</v>
      </c>
      <c r="I76" s="232" t="s">
        <v>212</v>
      </c>
      <c r="J76" s="244" t="s">
        <v>212</v>
      </c>
      <c r="K76" s="301"/>
      <c r="L76" s="245"/>
      <c r="M76" s="243"/>
    </row>
    <row r="77" spans="1:22" x14ac:dyDescent="0.3">
      <c r="A77" s="11"/>
      <c r="B77" s="2" t="s">
        <v>78</v>
      </c>
      <c r="C77" s="232">
        <v>1.32E-3</v>
      </c>
      <c r="D77" s="232">
        <v>1.8350000000000003E-3</v>
      </c>
      <c r="E77" s="244" t="s">
        <v>212</v>
      </c>
      <c r="F77" s="244" t="s">
        <v>212</v>
      </c>
      <c r="G77" s="232">
        <v>1.32E-3</v>
      </c>
      <c r="H77" s="232">
        <v>1.8350000000000003E-3</v>
      </c>
      <c r="I77" s="244" t="s">
        <v>212</v>
      </c>
      <c r="J77" s="244" t="s">
        <v>212</v>
      </c>
      <c r="K77" s="301"/>
      <c r="L77" s="245"/>
      <c r="M77" s="243"/>
    </row>
    <row r="78" spans="1:22" x14ac:dyDescent="0.3">
      <c r="B78" s="2"/>
      <c r="C78" s="232"/>
      <c r="D78" s="232"/>
      <c r="E78" s="232"/>
      <c r="F78" s="232"/>
      <c r="G78" s="232"/>
      <c r="H78" s="232"/>
      <c r="I78" s="232"/>
      <c r="J78" s="232"/>
      <c r="K78" s="229"/>
      <c r="L78" s="230"/>
      <c r="M78" s="243"/>
    </row>
    <row r="79" spans="1:22" x14ac:dyDescent="0.3">
      <c r="A79" s="66" t="s">
        <v>295</v>
      </c>
      <c r="B79" s="26" t="s">
        <v>300</v>
      </c>
      <c r="C79" s="1">
        <v>15</v>
      </c>
      <c r="D79" s="1">
        <v>25</v>
      </c>
      <c r="E79" s="1">
        <v>35</v>
      </c>
      <c r="F79" s="1">
        <v>45</v>
      </c>
      <c r="G79" s="1">
        <v>15</v>
      </c>
      <c r="H79" s="1">
        <v>25</v>
      </c>
      <c r="I79" s="1">
        <v>35</v>
      </c>
      <c r="J79" s="1">
        <v>45</v>
      </c>
      <c r="K79" s="1">
        <v>55</v>
      </c>
      <c r="L79" s="43">
        <v>65</v>
      </c>
      <c r="M79" s="33" t="s">
        <v>283</v>
      </c>
      <c r="N79" s="1" t="s">
        <v>169</v>
      </c>
      <c r="O79" s="1" t="s">
        <v>170</v>
      </c>
    </row>
    <row r="80" spans="1:22" x14ac:dyDescent="0.3">
      <c r="A80" s="247"/>
      <c r="B80" s="2" t="s">
        <v>20</v>
      </c>
      <c r="C80" s="279">
        <f t="shared" ref="C80:L81" si="2">$N80*C$79^$O80</f>
        <v>2.4518570670067604E-3</v>
      </c>
      <c r="D80" s="279">
        <f t="shared" si="2"/>
        <v>1.0306518430227517E-2</v>
      </c>
      <c r="E80" s="279">
        <f t="shared" si="2"/>
        <v>2.6538592902629474E-2</v>
      </c>
      <c r="F80" s="279">
        <f t="shared" si="2"/>
        <v>5.3787702738627943E-2</v>
      </c>
      <c r="G80" s="279">
        <f t="shared" si="2"/>
        <v>2.4518570670067604E-3</v>
      </c>
      <c r="H80" s="279">
        <f t="shared" si="2"/>
        <v>1.0306518430227517E-2</v>
      </c>
      <c r="I80" s="279">
        <f t="shared" si="2"/>
        <v>2.6538592902629474E-2</v>
      </c>
      <c r="J80" s="279">
        <f t="shared" si="2"/>
        <v>5.3787702738627943E-2</v>
      </c>
      <c r="K80" s="279">
        <f t="shared" si="2"/>
        <v>9.455013210998478E-2</v>
      </c>
      <c r="L80" s="284">
        <f t="shared" si="2"/>
        <v>0.15121750401526168</v>
      </c>
      <c r="M80" s="28" t="s">
        <v>287</v>
      </c>
      <c r="N80" s="280">
        <v>1.212E-6</v>
      </c>
      <c r="O80">
        <v>2.8109999999999999</v>
      </c>
    </row>
    <row r="81" spans="1:15" x14ac:dyDescent="0.3">
      <c r="A81" s="247"/>
      <c r="B81" s="192" t="s">
        <v>25</v>
      </c>
      <c r="C81" s="279">
        <f t="shared" si="2"/>
        <v>3.4223760556390307E-4</v>
      </c>
      <c r="D81" s="279">
        <f t="shared" si="2"/>
        <v>1.1957360325099452E-3</v>
      </c>
      <c r="E81" s="279">
        <f t="shared" si="2"/>
        <v>2.725855789625998E-3</v>
      </c>
      <c r="F81" s="279">
        <f t="shared" si="2"/>
        <v>5.0442625309294366E-3</v>
      </c>
      <c r="G81" s="279">
        <f t="shared" si="2"/>
        <v>3.4223760556390307E-4</v>
      </c>
      <c r="H81" s="279">
        <f t="shared" si="2"/>
        <v>1.1957360325099452E-3</v>
      </c>
      <c r="I81" s="279">
        <f t="shared" si="2"/>
        <v>2.725855789625998E-3</v>
      </c>
      <c r="J81" s="279">
        <f t="shared" si="2"/>
        <v>5.0442625309294366E-3</v>
      </c>
      <c r="K81" s="279">
        <f t="shared" si="2"/>
        <v>8.2457176932294422E-3</v>
      </c>
      <c r="L81" s="275"/>
      <c r="M81" s="28" t="s">
        <v>288</v>
      </c>
      <c r="N81" s="280">
        <v>4.5089999999999999E-7</v>
      </c>
      <c r="O81">
        <v>2.4489999999999998</v>
      </c>
    </row>
    <row r="82" spans="1:15" x14ac:dyDescent="0.3">
      <c r="B82" s="192" t="s">
        <v>134</v>
      </c>
      <c r="C82" s="279">
        <f t="shared" ref="C82:E83" si="3">$N82*C$79^$O82</f>
        <v>5.0225708878174464E-4</v>
      </c>
      <c r="D82" s="279">
        <f t="shared" si="3"/>
        <v>1.5900722347803155E-3</v>
      </c>
      <c r="E82" s="279">
        <f t="shared" si="3"/>
        <v>3.3968917139218084E-3</v>
      </c>
      <c r="F82" s="274"/>
      <c r="G82" s="279">
        <f t="shared" ref="G82:J83" si="4">$N82*G$79^$O82</f>
        <v>5.0225708878174464E-4</v>
      </c>
      <c r="H82" s="279">
        <f t="shared" si="4"/>
        <v>1.5900722347803155E-3</v>
      </c>
      <c r="I82" s="279">
        <f t="shared" si="4"/>
        <v>3.3968917139218084E-3</v>
      </c>
      <c r="J82" s="274"/>
      <c r="K82" s="302"/>
      <c r="L82" s="275"/>
      <c r="M82" s="28" t="s">
        <v>288</v>
      </c>
      <c r="N82" s="280">
        <v>1.116E-6</v>
      </c>
      <c r="O82">
        <v>2.2559999999999998</v>
      </c>
    </row>
    <row r="83" spans="1:15" x14ac:dyDescent="0.3">
      <c r="B83" s="192" t="s">
        <v>135</v>
      </c>
      <c r="C83" s="279">
        <f t="shared" si="3"/>
        <v>8.1809999999999999E-4</v>
      </c>
      <c r="D83" s="279">
        <f t="shared" si="3"/>
        <v>1.3635000000000001E-3</v>
      </c>
      <c r="E83" s="279">
        <f t="shared" si="3"/>
        <v>1.9089E-3</v>
      </c>
      <c r="F83" s="279">
        <f>$N83*F$79^$O83</f>
        <v>2.4543E-3</v>
      </c>
      <c r="G83" s="279">
        <f t="shared" si="4"/>
        <v>8.1809999999999999E-4</v>
      </c>
      <c r="H83" s="279">
        <f t="shared" si="4"/>
        <v>1.3635000000000001E-3</v>
      </c>
      <c r="I83" s="279">
        <f t="shared" si="4"/>
        <v>1.9089E-3</v>
      </c>
      <c r="J83" s="279">
        <f t="shared" si="4"/>
        <v>2.4543E-3</v>
      </c>
      <c r="K83" s="302"/>
      <c r="L83" s="275"/>
      <c r="M83" s="28" t="s">
        <v>288</v>
      </c>
      <c r="N83" s="280">
        <v>5.4540000000000003E-5</v>
      </c>
      <c r="O83" s="281">
        <v>1</v>
      </c>
    </row>
    <row r="84" spans="1:15" x14ac:dyDescent="0.3">
      <c r="A84" s="231"/>
      <c r="B84" s="6" t="s">
        <v>31</v>
      </c>
      <c r="C84" s="282">
        <f>$N84*C$79^$O84</f>
        <v>3.3313433150500304E-4</v>
      </c>
      <c r="D84" s="282">
        <f>$N84*D$79^$O84</f>
        <v>1.1686965701092169E-3</v>
      </c>
      <c r="E84" s="283"/>
      <c r="F84" s="283"/>
      <c r="G84" s="282">
        <f>$N84*G$79^$O84</f>
        <v>3.3313433150500304E-4</v>
      </c>
      <c r="H84" s="282">
        <f>$N84*H$79^$O84</f>
        <v>1.1686965701092169E-3</v>
      </c>
      <c r="I84" s="276"/>
      <c r="J84" s="276"/>
      <c r="K84" s="303"/>
      <c r="L84" s="277"/>
      <c r="M84" s="28" t="s">
        <v>288</v>
      </c>
      <c r="N84" s="280">
        <v>4.2949999999999997E-7</v>
      </c>
      <c r="O84">
        <v>2.4569999999999999</v>
      </c>
    </row>
    <row r="85" spans="1:15" x14ac:dyDescent="0.3">
      <c r="B85" s="2"/>
      <c r="C85" s="4"/>
      <c r="D85" s="4"/>
      <c r="E85" s="4"/>
      <c r="F85" s="4"/>
      <c r="G85" s="4"/>
      <c r="H85" s="4"/>
      <c r="I85" s="4"/>
      <c r="J85" s="4"/>
      <c r="K85" s="4"/>
      <c r="L85" s="4"/>
      <c r="M85" s="4"/>
    </row>
    <row r="86" spans="1:15" x14ac:dyDescent="0.3">
      <c r="B86" s="2"/>
      <c r="C86" s="310" t="s">
        <v>13</v>
      </c>
      <c r="D86" s="311"/>
      <c r="E86" s="311"/>
      <c r="F86" s="312"/>
      <c r="G86" s="317" t="s">
        <v>14</v>
      </c>
      <c r="H86" s="318"/>
      <c r="I86" s="318"/>
      <c r="J86" s="318"/>
      <c r="K86" s="318"/>
      <c r="L86" s="319"/>
    </row>
    <row r="87" spans="1:15" x14ac:dyDescent="0.3">
      <c r="A87" s="65" t="s">
        <v>42</v>
      </c>
      <c r="C87" s="21" t="s">
        <v>0</v>
      </c>
      <c r="D87" s="22" t="s">
        <v>1</v>
      </c>
      <c r="E87" s="22" t="s">
        <v>2</v>
      </c>
      <c r="F87" s="23" t="s">
        <v>3</v>
      </c>
      <c r="G87" s="3" t="s">
        <v>0</v>
      </c>
      <c r="H87" s="3" t="s">
        <v>1</v>
      </c>
      <c r="I87" s="3" t="s">
        <v>2</v>
      </c>
      <c r="J87" s="3" t="s">
        <v>3</v>
      </c>
      <c r="K87" s="3" t="s">
        <v>4</v>
      </c>
      <c r="L87" s="13" t="s">
        <v>303</v>
      </c>
    </row>
    <row r="88" spans="1:15" x14ac:dyDescent="0.3">
      <c r="A88" s="56" t="s">
        <v>53</v>
      </c>
      <c r="B88" s="57" t="s">
        <v>237</v>
      </c>
      <c r="C88" s="15">
        <f>AVERAGE(C17,C32)</f>
        <v>2.1647795992049652E-2</v>
      </c>
      <c r="D88" s="15">
        <f t="shared" ref="D88:L88" si="5">AVERAGE(D17,D32)</f>
        <v>7.0959797175794467E-2</v>
      </c>
      <c r="E88" s="15">
        <f t="shared" si="5"/>
        <v>0.13255298842021734</v>
      </c>
      <c r="F88" s="15">
        <f t="shared" si="5"/>
        <v>0.19407888456999309</v>
      </c>
      <c r="G88" s="15">
        <f t="shared" si="5"/>
        <v>2.1647795992049652E-2</v>
      </c>
      <c r="H88" s="15">
        <f t="shared" si="5"/>
        <v>7.0959797175794467E-2</v>
      </c>
      <c r="I88" s="15">
        <f t="shared" si="5"/>
        <v>0.13255298842021734</v>
      </c>
      <c r="J88" s="15">
        <f t="shared" si="5"/>
        <v>0.19407888456999309</v>
      </c>
      <c r="K88" s="15">
        <f t="shared" si="5"/>
        <v>0.27672104781107287</v>
      </c>
      <c r="L88" s="16">
        <f t="shared" si="5"/>
        <v>0.38190527451067857</v>
      </c>
    </row>
    <row r="89" spans="1:15" x14ac:dyDescent="0.3">
      <c r="A89" s="58"/>
      <c r="B89" s="59" t="s">
        <v>87</v>
      </c>
      <c r="C89" s="14">
        <f>AVERAGE(C6,C14,C18,C23,C33)</f>
        <v>1.0926978366996092E-2</v>
      </c>
      <c r="D89" s="14">
        <f t="shared" ref="D89:K89" si="6">AVERAGE(D6,D14,D18,D23,D33)</f>
        <v>3.90181039778539E-2</v>
      </c>
      <c r="E89" s="14">
        <f t="shared" si="6"/>
        <v>0.13327468602699327</v>
      </c>
      <c r="F89" s="14">
        <f t="shared" si="6"/>
        <v>0.20370091137427973</v>
      </c>
      <c r="G89" s="14">
        <f t="shared" si="6"/>
        <v>1.0926978366996092E-2</v>
      </c>
      <c r="H89" s="14">
        <f t="shared" si="6"/>
        <v>3.90181039778539E-2</v>
      </c>
      <c r="I89" s="14">
        <f t="shared" si="6"/>
        <v>0.13327468602699327</v>
      </c>
      <c r="J89" s="14">
        <f t="shared" si="6"/>
        <v>0.20370091137427973</v>
      </c>
      <c r="K89" s="14">
        <f t="shared" si="6"/>
        <v>0.25134852210609482</v>
      </c>
      <c r="L89" s="17">
        <f>AVERAGE(L6,L14,L18,L23,L33)</f>
        <v>0.31194464017429546</v>
      </c>
    </row>
    <row r="90" spans="1:15" x14ac:dyDescent="0.3">
      <c r="A90" s="58"/>
      <c r="B90" s="59" t="s">
        <v>238</v>
      </c>
      <c r="C90" s="14">
        <f>AVERAGE(C5,C13,C19,C22,C34)</f>
        <v>1.6033332938471506E-3</v>
      </c>
      <c r="D90" s="14">
        <f>AVERAGE(D5,D13,D19,D22,D34)</f>
        <v>4.7609245979990432E-3</v>
      </c>
      <c r="E90" s="14">
        <f>AVERAGE(E5,E13,E19,E22,E34)</f>
        <v>7.712732034157236E-3</v>
      </c>
      <c r="F90" s="74"/>
      <c r="G90" s="14">
        <f>AVERAGE(G5,G13,G19,G22,G34)</f>
        <v>1.6033332938471506E-3</v>
      </c>
      <c r="H90" s="14">
        <f>AVERAGE(H5,H13,H19,H22,H34)</f>
        <v>4.7609245979990432E-3</v>
      </c>
      <c r="I90" s="14">
        <f>AVERAGE(I5,I13,I19,I22,I34)</f>
        <v>7.712732034157236E-3</v>
      </c>
      <c r="J90" s="14">
        <f>AVERAGE(J5,J13,J19,J22,J34)</f>
        <v>1.4837205947153828E-2</v>
      </c>
      <c r="K90" s="74"/>
      <c r="L90" s="76"/>
    </row>
    <row r="91" spans="1:15" x14ac:dyDescent="0.3">
      <c r="A91" s="58"/>
      <c r="B91" s="59" t="s">
        <v>239</v>
      </c>
      <c r="C91" s="14">
        <f>C90</f>
        <v>1.6033332938471506E-3</v>
      </c>
      <c r="D91" s="14">
        <f t="shared" ref="D91:E91" si="7">D90</f>
        <v>4.7609245979990432E-3</v>
      </c>
      <c r="E91" s="14">
        <f t="shared" si="7"/>
        <v>7.712732034157236E-3</v>
      </c>
      <c r="F91" s="74"/>
      <c r="G91" s="14">
        <f>G90</f>
        <v>1.6033332938471506E-3</v>
      </c>
      <c r="H91" s="14">
        <f t="shared" ref="H91" si="8">H90</f>
        <v>4.7609245979990432E-3</v>
      </c>
      <c r="I91" s="14">
        <f t="shared" ref="I91" si="9">I90</f>
        <v>7.712732034157236E-3</v>
      </c>
      <c r="J91" s="74"/>
      <c r="K91" s="74"/>
      <c r="L91" s="76"/>
      <c r="M91" t="s">
        <v>240</v>
      </c>
    </row>
    <row r="92" spans="1:15" x14ac:dyDescent="0.3">
      <c r="A92" s="58"/>
      <c r="B92" s="59" t="s">
        <v>175</v>
      </c>
      <c r="C92" s="14">
        <f>AVERAGE(C29)</f>
        <v>3.6456368796933887E-3</v>
      </c>
      <c r="D92" s="14">
        <f t="shared" ref="D92:K92" si="10">AVERAGE(D29)</f>
        <v>1.391997032598831E-2</v>
      </c>
      <c r="E92" s="14">
        <f t="shared" si="10"/>
        <v>3.3643635679851208E-2</v>
      </c>
      <c r="F92" s="14">
        <f t="shared" si="10"/>
        <v>6.503797875835296E-2</v>
      </c>
      <c r="G92" s="14">
        <f t="shared" si="10"/>
        <v>3.6456368796933887E-3</v>
      </c>
      <c r="H92" s="14">
        <f t="shared" si="10"/>
        <v>1.391997032598831E-2</v>
      </c>
      <c r="I92" s="14">
        <f t="shared" si="10"/>
        <v>3.3643635679851208E-2</v>
      </c>
      <c r="J92" s="14">
        <f t="shared" si="10"/>
        <v>6.503797875835296E-2</v>
      </c>
      <c r="K92" s="14">
        <f t="shared" si="10"/>
        <v>0.11008914953947224</v>
      </c>
      <c r="L92" s="76"/>
    </row>
    <row r="93" spans="1:15" x14ac:dyDescent="0.3">
      <c r="A93" s="56" t="s">
        <v>79</v>
      </c>
      <c r="B93" s="57" t="s">
        <v>122</v>
      </c>
      <c r="C93" s="15">
        <f>AVERAGE(C44,C59,C75,C80)</f>
        <v>1.8014065828911867E-3</v>
      </c>
      <c r="D93" s="15">
        <f t="shared" ref="D93:L93" si="11">AVERAGE(D44,D59,D75,D80)</f>
        <v>6.6553854171316233E-3</v>
      </c>
      <c r="E93" s="15">
        <f t="shared" si="11"/>
        <v>1.6625881212776531E-2</v>
      </c>
      <c r="F93" s="15">
        <f t="shared" si="11"/>
        <v>3.3725475637655114E-2</v>
      </c>
      <c r="G93" s="15">
        <f t="shared" si="11"/>
        <v>1.8014065828911867E-3</v>
      </c>
      <c r="H93" s="15">
        <f t="shared" si="11"/>
        <v>6.6553854171316233E-3</v>
      </c>
      <c r="I93" s="15">
        <f t="shared" si="11"/>
        <v>1.6625881212776531E-2</v>
      </c>
      <c r="J93" s="15">
        <f t="shared" si="11"/>
        <v>3.3725475637655114E-2</v>
      </c>
      <c r="K93" s="15">
        <f t="shared" si="11"/>
        <v>6.0081913043177816E-2</v>
      </c>
      <c r="L93" s="16">
        <f t="shared" si="11"/>
        <v>9.799620278575906E-2</v>
      </c>
      <c r="M93" s="2"/>
    </row>
    <row r="94" spans="1:15" x14ac:dyDescent="0.3">
      <c r="A94" s="60"/>
      <c r="B94" s="61" t="s">
        <v>159</v>
      </c>
      <c r="C94" s="18">
        <f>C93</f>
        <v>1.8014065828911867E-3</v>
      </c>
      <c r="D94" s="18">
        <f>D71</f>
        <v>4.8420000000000008E-3</v>
      </c>
      <c r="E94" s="18">
        <f t="shared" ref="E94" si="12">E93</f>
        <v>1.6625881212776531E-2</v>
      </c>
      <c r="F94" s="18">
        <f>F93</f>
        <v>3.3725475637655114E-2</v>
      </c>
      <c r="G94" s="18">
        <f>G93</f>
        <v>1.8014065828911867E-3</v>
      </c>
      <c r="H94" s="18">
        <f>H71</f>
        <v>4.8420000000000008E-3</v>
      </c>
      <c r="I94" s="18">
        <f t="shared" ref="I94" si="13">I93</f>
        <v>1.6625881212776531E-2</v>
      </c>
      <c r="J94" s="18">
        <f>J93</f>
        <v>3.3725475637655114E-2</v>
      </c>
      <c r="K94" s="18">
        <f>AVERAGE(K52)</f>
        <v>6.3E-2</v>
      </c>
      <c r="L94" s="235">
        <f>L93</f>
        <v>9.799620278575906E-2</v>
      </c>
      <c r="M94" t="s">
        <v>257</v>
      </c>
    </row>
    <row r="95" spans="1:15" x14ac:dyDescent="0.3">
      <c r="A95" s="56" t="s">
        <v>41</v>
      </c>
      <c r="B95" s="57" t="s">
        <v>235</v>
      </c>
      <c r="C95" s="15">
        <f>C96</f>
        <v>8.6132956185873942E-4</v>
      </c>
      <c r="D95" s="15">
        <f t="shared" ref="D95:K95" si="14">D96</f>
        <v>1.9277757964591112E-3</v>
      </c>
      <c r="E95" s="15">
        <f t="shared" si="14"/>
        <v>3.3210226953044744E-3</v>
      </c>
      <c r="F95" s="15">
        <f t="shared" si="14"/>
        <v>7.021762794100439E-3</v>
      </c>
      <c r="G95" s="15">
        <f t="shared" si="14"/>
        <v>8.6132956185873942E-4</v>
      </c>
      <c r="H95" s="15">
        <f t="shared" si="14"/>
        <v>1.9277757964591112E-3</v>
      </c>
      <c r="I95" s="15">
        <f t="shared" si="14"/>
        <v>3.3210226953044744E-3</v>
      </c>
      <c r="J95" s="15">
        <f t="shared" si="14"/>
        <v>7.021762794100439E-3</v>
      </c>
      <c r="K95" s="15">
        <f t="shared" si="14"/>
        <v>8.3913828014795383E-3</v>
      </c>
      <c r="L95" s="16">
        <f>K95</f>
        <v>8.3913828014795383E-3</v>
      </c>
      <c r="M95" t="s">
        <v>244</v>
      </c>
    </row>
    <row r="96" spans="1:15" x14ac:dyDescent="0.3">
      <c r="A96" s="58"/>
      <c r="B96" s="59" t="s">
        <v>222</v>
      </c>
      <c r="C96" s="14">
        <f>AVERAGE(C42,C70,C51)</f>
        <v>8.6132956185873942E-4</v>
      </c>
      <c r="D96" s="14">
        <f t="shared" ref="D96:K96" si="15">AVERAGE(D42,D70,D51)</f>
        <v>1.9277757964591112E-3</v>
      </c>
      <c r="E96" s="14">
        <f t="shared" si="15"/>
        <v>3.3210226953044744E-3</v>
      </c>
      <c r="F96" s="14">
        <f t="shared" si="15"/>
        <v>7.021762794100439E-3</v>
      </c>
      <c r="G96" s="14">
        <f t="shared" si="15"/>
        <v>8.6132956185873942E-4</v>
      </c>
      <c r="H96" s="14">
        <f t="shared" si="15"/>
        <v>1.9277757964591112E-3</v>
      </c>
      <c r="I96" s="14">
        <f t="shared" si="15"/>
        <v>3.3210226953044744E-3</v>
      </c>
      <c r="J96" s="14">
        <f t="shared" si="15"/>
        <v>7.021762794100439E-3</v>
      </c>
      <c r="K96" s="14">
        <f t="shared" si="15"/>
        <v>8.3913828014795383E-3</v>
      </c>
      <c r="L96" s="76"/>
    </row>
    <row r="97" spans="1:13" x14ac:dyDescent="0.3">
      <c r="A97" s="62"/>
      <c r="B97" s="59" t="s">
        <v>236</v>
      </c>
      <c r="C97" s="14">
        <f t="shared" ref="C97:K97" si="16">C96</f>
        <v>8.6132956185873942E-4</v>
      </c>
      <c r="D97" s="14">
        <f t="shared" si="16"/>
        <v>1.9277757964591112E-3</v>
      </c>
      <c r="E97" s="14">
        <f t="shared" si="16"/>
        <v>3.3210226953044744E-3</v>
      </c>
      <c r="F97" s="14">
        <f t="shared" si="16"/>
        <v>7.021762794100439E-3</v>
      </c>
      <c r="G97" s="14">
        <f t="shared" si="16"/>
        <v>8.6132956185873942E-4</v>
      </c>
      <c r="H97" s="14">
        <f t="shared" si="16"/>
        <v>1.9277757964591112E-3</v>
      </c>
      <c r="I97" s="14">
        <f t="shared" si="16"/>
        <v>3.3210226953044744E-3</v>
      </c>
      <c r="J97" s="14">
        <f t="shared" si="16"/>
        <v>7.021762794100439E-3</v>
      </c>
      <c r="K97" s="14">
        <f t="shared" si="16"/>
        <v>8.3913828014795383E-3</v>
      </c>
      <c r="L97" s="17">
        <f>K97</f>
        <v>8.3913828014795383E-3</v>
      </c>
      <c r="M97" s="2" t="s">
        <v>243</v>
      </c>
    </row>
    <row r="98" spans="1:13" x14ac:dyDescent="0.3">
      <c r="A98" s="62"/>
      <c r="B98" s="59" t="s">
        <v>230</v>
      </c>
      <c r="C98" s="14">
        <f>AVERAGE(C43,C47,C53,C65,C66,C81)</f>
        <v>4.9758114791463993E-4</v>
      </c>
      <c r="D98" s="14">
        <f t="shared" ref="D98:I98" si="17">AVERAGE(D43,D47,D53,D65,D66,D81)</f>
        <v>1.9436400872703049E-3</v>
      </c>
      <c r="E98" s="14">
        <f t="shared" si="17"/>
        <v>3.4047487033814134E-3</v>
      </c>
      <c r="F98" s="14">
        <f>AVERAGE(F43,F47,F53,F65,F66,F81)</f>
        <v>4.5207008045826521E-3</v>
      </c>
      <c r="G98" s="14">
        <f t="shared" si="17"/>
        <v>5.1369531062206669E-4</v>
      </c>
      <c r="H98" s="14">
        <f t="shared" si="17"/>
        <v>2.0123219003391844E-3</v>
      </c>
      <c r="I98" s="14">
        <f t="shared" si="17"/>
        <v>3.6870609119557763E-3</v>
      </c>
      <c r="J98" s="14">
        <f>AVERAGE(J43,J47,J53,J65,J66,J81)</f>
        <v>4.5207008045826521E-3</v>
      </c>
      <c r="K98" s="74"/>
      <c r="L98" s="76"/>
    </row>
    <row r="99" spans="1:13" x14ac:dyDescent="0.3">
      <c r="A99" s="62"/>
      <c r="B99" s="59" t="s">
        <v>89</v>
      </c>
      <c r="C99" s="14">
        <f>C96</f>
        <v>8.6132956185873942E-4</v>
      </c>
      <c r="D99" s="14">
        <f>D96</f>
        <v>1.9277757964591112E-3</v>
      </c>
      <c r="E99" s="14">
        <f>E50</f>
        <v>8.9999999999999993E-3</v>
      </c>
      <c r="F99" s="74"/>
      <c r="G99" s="14">
        <f>G96</f>
        <v>8.6132956185873942E-4</v>
      </c>
      <c r="H99" s="14">
        <f>H96</f>
        <v>1.9277757964591112E-3</v>
      </c>
      <c r="I99" s="14">
        <f>I50</f>
        <v>8.9999999999999993E-3</v>
      </c>
      <c r="J99" s="74"/>
      <c r="K99" s="74"/>
      <c r="L99" s="76"/>
      <c r="M99" t="s">
        <v>245</v>
      </c>
    </row>
    <row r="100" spans="1:13" x14ac:dyDescent="0.3">
      <c r="A100" s="62"/>
      <c r="B100" s="59" t="s">
        <v>231</v>
      </c>
      <c r="C100" s="14">
        <f t="shared" ref="C100:J100" si="18">AVERAGE(C69,C83)</f>
        <v>8.1809999999999999E-4</v>
      </c>
      <c r="D100" s="14">
        <f t="shared" si="18"/>
        <v>2.4390000000000002E-3</v>
      </c>
      <c r="E100" s="14">
        <f t="shared" si="18"/>
        <v>3.7594500000000001E-3</v>
      </c>
      <c r="F100" s="14">
        <f t="shared" si="18"/>
        <v>4.03215E-3</v>
      </c>
      <c r="G100" s="14">
        <f t="shared" si="18"/>
        <v>8.1809999999999999E-4</v>
      </c>
      <c r="H100" s="14">
        <f t="shared" si="18"/>
        <v>2.4390000000000002E-3</v>
      </c>
      <c r="I100" s="14">
        <f t="shared" si="18"/>
        <v>3.7594500000000001E-3</v>
      </c>
      <c r="J100" s="14">
        <f t="shared" si="18"/>
        <v>4.03215E-3</v>
      </c>
      <c r="K100" s="74"/>
      <c r="L100" s="76"/>
    </row>
    <row r="101" spans="1:13" x14ac:dyDescent="0.3">
      <c r="A101" s="62"/>
      <c r="B101" s="59" t="s">
        <v>241</v>
      </c>
      <c r="C101" s="14">
        <f>AVERAGE(C68,C76)</f>
        <v>9.0000000000000008E-4</v>
      </c>
      <c r="D101" s="14">
        <f>AVERAGE(D68,D76)</f>
        <v>2.0666666666666667E-3</v>
      </c>
      <c r="E101" s="14">
        <f>AVERAGE(E68,E76)</f>
        <v>2.1750000000000003E-3</v>
      </c>
      <c r="F101" s="14">
        <f>E101</f>
        <v>2.1750000000000003E-3</v>
      </c>
      <c r="G101" s="14">
        <f>AVERAGE(G68,G76)</f>
        <v>9.0000000000000008E-4</v>
      </c>
      <c r="H101" s="14">
        <f>AVERAGE(H68,H76)</f>
        <v>2.0666666666666667E-3</v>
      </c>
      <c r="I101" s="14">
        <f>AVERAGE(I68,I76)</f>
        <v>2.1750000000000003E-3</v>
      </c>
      <c r="J101" s="14">
        <f>I101</f>
        <v>2.1750000000000003E-3</v>
      </c>
      <c r="K101" s="74"/>
      <c r="L101" s="76"/>
    </row>
    <row r="102" spans="1:13" x14ac:dyDescent="0.3">
      <c r="A102" s="62"/>
      <c r="B102" s="59" t="s">
        <v>242</v>
      </c>
      <c r="C102" s="14">
        <f>AVERAGE(C56,C62,C74,C72)</f>
        <v>2.2547168476187616E-3</v>
      </c>
      <c r="D102" s="14">
        <f>AVERAGE(D56,D74,D72)</f>
        <v>2.6544572947579332E-3</v>
      </c>
      <c r="E102" s="14">
        <f>AVERAGE(E56,E74,E72)</f>
        <v>4.5643400458079669E-3</v>
      </c>
      <c r="F102" s="74"/>
      <c r="G102" s="14">
        <f>AVERAGE(G56,G74,G72)</f>
        <v>2.2547168476187616E-3</v>
      </c>
      <c r="H102" s="14">
        <f>AVERAGE(H56,H74,H72)</f>
        <v>2.6544572947579332E-3</v>
      </c>
      <c r="I102" s="14">
        <f>AVERAGE(I56,I74,I72)</f>
        <v>4.5643400458079669E-3</v>
      </c>
      <c r="J102" s="74"/>
      <c r="K102" s="74"/>
      <c r="L102" s="76"/>
    </row>
    <row r="103" spans="1:13" x14ac:dyDescent="0.3">
      <c r="A103" s="62"/>
      <c r="B103" s="59" t="s">
        <v>233</v>
      </c>
      <c r="C103" s="14">
        <f>AVERAGE(C73,C67,C82)</f>
        <v>1.3416587091932659E-3</v>
      </c>
      <c r="D103" s="14">
        <f t="shared" ref="D103:E103" si="19">AVERAGE(D73,D67,D82)</f>
        <v>2.3101694941049132E-3</v>
      </c>
      <c r="E103" s="14">
        <f t="shared" si="19"/>
        <v>5.7101079355399154E-3</v>
      </c>
      <c r="F103" s="74"/>
      <c r="G103" s="14">
        <f>AVERAGE(G73,G67,G82)</f>
        <v>1.3416587091932659E-3</v>
      </c>
      <c r="H103" s="14">
        <f t="shared" ref="H103:I103" si="20">AVERAGE(H73,H67,H82)</f>
        <v>2.3101694941049132E-3</v>
      </c>
      <c r="I103" s="14">
        <f t="shared" si="20"/>
        <v>5.7101079355399154E-3</v>
      </c>
      <c r="J103" s="74"/>
      <c r="K103" s="74"/>
      <c r="L103" s="76"/>
    </row>
    <row r="104" spans="1:13" x14ac:dyDescent="0.3">
      <c r="A104" s="62"/>
      <c r="B104" s="59" t="s">
        <v>223</v>
      </c>
      <c r="C104" s="14">
        <f>C84</f>
        <v>3.3313433150500304E-4</v>
      </c>
      <c r="D104" s="14">
        <f>D84</f>
        <v>1.1686965701092169E-3</v>
      </c>
      <c r="E104" s="74"/>
      <c r="F104" s="74"/>
      <c r="G104" s="14">
        <f>G84</f>
        <v>3.3313433150500304E-4</v>
      </c>
      <c r="H104" s="14">
        <f>H84</f>
        <v>1.1686965701092169E-3</v>
      </c>
      <c r="I104" s="74"/>
      <c r="J104" s="74"/>
      <c r="K104" s="74"/>
      <c r="L104" s="76"/>
    </row>
    <row r="105" spans="1:13" x14ac:dyDescent="0.3">
      <c r="A105" s="228"/>
      <c r="B105" s="61" t="s">
        <v>227</v>
      </c>
      <c r="C105" s="18">
        <f>C77</f>
        <v>1.32E-3</v>
      </c>
      <c r="D105" s="18">
        <f>D77</f>
        <v>1.8350000000000003E-3</v>
      </c>
      <c r="E105" s="233"/>
      <c r="F105" s="233"/>
      <c r="G105" s="18">
        <f>G77</f>
        <v>1.32E-3</v>
      </c>
      <c r="H105" s="18">
        <f>H77</f>
        <v>1.8350000000000003E-3</v>
      </c>
      <c r="I105" s="233"/>
      <c r="J105" s="233"/>
      <c r="K105" s="233"/>
      <c r="L105" s="234"/>
    </row>
    <row r="106" spans="1:13" x14ac:dyDescent="0.3">
      <c r="A106" s="11"/>
    </row>
    <row r="107" spans="1:13" x14ac:dyDescent="0.3">
      <c r="A107" s="67"/>
      <c r="B107" t="s">
        <v>94</v>
      </c>
    </row>
    <row r="108" spans="1:13" x14ac:dyDescent="0.3">
      <c r="B108" t="s">
        <v>109</v>
      </c>
      <c r="C108" s="4"/>
      <c r="D108" s="4"/>
      <c r="E108" s="4"/>
      <c r="F108" s="4"/>
      <c r="G108" s="4"/>
      <c r="H108" s="4"/>
      <c r="I108" s="4"/>
      <c r="J108" s="4"/>
      <c r="K108" s="4"/>
      <c r="L108" s="4"/>
      <c r="M108" s="2"/>
    </row>
  </sheetData>
  <mergeCells count="13">
    <mergeCell ref="C86:F86"/>
    <mergeCell ref="M49:Z49"/>
    <mergeCell ref="M13:Z14"/>
    <mergeCell ref="M16:Z16"/>
    <mergeCell ref="M22:Y23"/>
    <mergeCell ref="G39:L39"/>
    <mergeCell ref="G86:L86"/>
    <mergeCell ref="G2:L2"/>
    <mergeCell ref="A1:B1"/>
    <mergeCell ref="A2:B2"/>
    <mergeCell ref="C2:F2"/>
    <mergeCell ref="A39:B39"/>
    <mergeCell ref="C39:F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zoomScale="85" zoomScaleNormal="85" workbookViewId="0">
      <selection activeCell="L49" sqref="L49"/>
    </sheetView>
  </sheetViews>
  <sheetFormatPr defaultRowHeight="14.4" x14ac:dyDescent="0.3"/>
  <cols>
    <col min="1" max="1" width="27.21875" customWidth="1"/>
    <col min="2" max="2" width="42.77734375" customWidth="1"/>
    <col min="13" max="13" width="41" bestFit="1" customWidth="1"/>
  </cols>
  <sheetData>
    <row r="1" spans="1:22" ht="23.25" customHeight="1" x14ac:dyDescent="0.3">
      <c r="A1" s="315" t="s">
        <v>110</v>
      </c>
      <c r="B1" s="315"/>
      <c r="K1" s="70"/>
      <c r="L1" s="70"/>
    </row>
    <row r="2" spans="1:22" ht="18" x14ac:dyDescent="0.35">
      <c r="A2" s="313" t="s">
        <v>53</v>
      </c>
      <c r="B2" s="320"/>
      <c r="C2" s="310" t="s">
        <v>13</v>
      </c>
      <c r="D2" s="311"/>
      <c r="E2" s="311"/>
      <c r="F2" s="311"/>
      <c r="G2" s="317" t="s">
        <v>14</v>
      </c>
      <c r="H2" s="318"/>
      <c r="I2" s="318"/>
      <c r="J2" s="318"/>
      <c r="K2" s="318"/>
      <c r="L2" s="319"/>
    </row>
    <row r="3" spans="1:22" x14ac:dyDescent="0.3">
      <c r="A3" s="71" t="s">
        <v>27</v>
      </c>
      <c r="B3" s="72" t="s">
        <v>92</v>
      </c>
      <c r="C3" s="21" t="s">
        <v>0</v>
      </c>
      <c r="D3" s="22" t="s">
        <v>1</v>
      </c>
      <c r="E3" s="22" t="s">
        <v>2</v>
      </c>
      <c r="F3" s="22" t="s">
        <v>3</v>
      </c>
      <c r="G3" s="21" t="s">
        <v>0</v>
      </c>
      <c r="H3" s="22" t="s">
        <v>1</v>
      </c>
      <c r="I3" s="22" t="s">
        <v>2</v>
      </c>
      <c r="J3" s="22" t="s">
        <v>3</v>
      </c>
      <c r="K3" s="22" t="s">
        <v>4</v>
      </c>
      <c r="L3" s="23" t="s">
        <v>303</v>
      </c>
    </row>
    <row r="4" spans="1:22" x14ac:dyDescent="0.3">
      <c r="A4" s="36" t="s">
        <v>6</v>
      </c>
      <c r="B4" s="37" t="s">
        <v>34</v>
      </c>
      <c r="C4" s="81" t="s">
        <v>81</v>
      </c>
      <c r="D4" s="81" t="s">
        <v>56</v>
      </c>
      <c r="E4" s="81" t="s">
        <v>57</v>
      </c>
      <c r="F4" s="81" t="s">
        <v>98</v>
      </c>
      <c r="G4" s="81" t="s">
        <v>81</v>
      </c>
      <c r="H4" s="81" t="s">
        <v>56</v>
      </c>
      <c r="I4" s="81" t="s">
        <v>57</v>
      </c>
      <c r="J4" s="81" t="s">
        <v>98</v>
      </c>
      <c r="K4" s="81" t="s">
        <v>99</v>
      </c>
      <c r="L4" s="82" t="s">
        <v>307</v>
      </c>
      <c r="M4" s="93" t="s">
        <v>114</v>
      </c>
    </row>
    <row r="5" spans="1:22" x14ac:dyDescent="0.3">
      <c r="A5" s="11"/>
      <c r="B5" s="2" t="s">
        <v>7</v>
      </c>
      <c r="C5" s="4">
        <f>0.2616*EXP(0.0274*15)</f>
        <v>0.394577913275588</v>
      </c>
      <c r="D5" s="4">
        <f>0.2616*EXP(0.0274*25)</f>
        <v>0.51895471217652112</v>
      </c>
      <c r="E5" s="4">
        <f>0.2616*EXP(0.0274*35)</f>
        <v>0.68253691914609738</v>
      </c>
      <c r="F5" s="31"/>
      <c r="G5" s="4">
        <f>0.2616*EXP(0.0274*15)</f>
        <v>0.394577913275588</v>
      </c>
      <c r="H5" s="4">
        <f>0.2616*EXP(0.0274*25)</f>
        <v>0.51895471217652112</v>
      </c>
      <c r="I5" s="4">
        <f>0.2616*EXP(0.0274*35)</f>
        <v>0.68253691914609738</v>
      </c>
      <c r="J5" s="4">
        <f>0.2616*EXP(0.0274*45)</f>
        <v>0.89768265913536271</v>
      </c>
      <c r="K5" s="31"/>
      <c r="L5" s="32"/>
      <c r="M5" t="s">
        <v>112</v>
      </c>
    </row>
    <row r="6" spans="1:22" x14ac:dyDescent="0.3">
      <c r="A6" s="41"/>
      <c r="B6" s="2" t="s">
        <v>8</v>
      </c>
      <c r="C6" s="4">
        <f>0.3663*LN(15)-0.5641</f>
        <v>0.4278587886637395</v>
      </c>
      <c r="D6" s="4">
        <f>0.3663*LN(25)-0.5641</f>
        <v>0.61497421464922186</v>
      </c>
      <c r="E6" s="4">
        <f>0.3663*LN(35)-0.5641</f>
        <v>0.73822399492357227</v>
      </c>
      <c r="F6" s="4">
        <f>0.3663*LN(45)-0.5641</f>
        <v>0.83028047000286809</v>
      </c>
      <c r="G6" s="4">
        <f>0.3663*LN(15)-0.5641</f>
        <v>0.4278587886637395</v>
      </c>
      <c r="H6" s="4">
        <f>0.3663*LN(25)-0.5641</f>
        <v>0.61497421464922186</v>
      </c>
      <c r="I6" s="4">
        <f>0.3663*LN(35)-0.5641</f>
        <v>0.73822399492357227</v>
      </c>
      <c r="J6" s="4">
        <f>0.3663*LN(45)-0.5641</f>
        <v>0.83028047000286809</v>
      </c>
      <c r="K6" s="4">
        <v>1</v>
      </c>
      <c r="L6" s="12">
        <v>1</v>
      </c>
      <c r="M6" t="s">
        <v>246</v>
      </c>
    </row>
    <row r="7" spans="1:22" x14ac:dyDescent="0.3">
      <c r="A7" s="41"/>
      <c r="B7" s="2"/>
      <c r="L7" s="34"/>
    </row>
    <row r="8" spans="1:22" x14ac:dyDescent="0.3">
      <c r="A8" s="42" t="s">
        <v>22</v>
      </c>
      <c r="B8" s="26" t="s">
        <v>35</v>
      </c>
      <c r="C8" s="81" t="s">
        <v>81</v>
      </c>
      <c r="D8" s="81" t="s">
        <v>56</v>
      </c>
      <c r="E8" s="81" t="s">
        <v>57</v>
      </c>
      <c r="F8" s="81" t="s">
        <v>98</v>
      </c>
      <c r="G8" s="81" t="s">
        <v>81</v>
      </c>
      <c r="H8" s="81" t="s">
        <v>56</v>
      </c>
      <c r="I8" s="81" t="s">
        <v>57</v>
      </c>
      <c r="J8" s="81" t="s">
        <v>98</v>
      </c>
      <c r="K8" s="81" t="s">
        <v>99</v>
      </c>
      <c r="L8" s="82" t="s">
        <v>307</v>
      </c>
      <c r="M8" s="93" t="s">
        <v>119</v>
      </c>
    </row>
    <row r="9" spans="1:22" x14ac:dyDescent="0.3">
      <c r="B9" s="2" t="s">
        <v>51</v>
      </c>
      <c r="C9" s="4">
        <f>(-1.12+(1.13*LOG(15)))</f>
        <v>0.20898312273291975</v>
      </c>
      <c r="D9" s="4">
        <f>(-1.12+(1.13*LOG(25)))</f>
        <v>0.45967220979940238</v>
      </c>
      <c r="E9" s="4">
        <f>(-1.12+(1.13*LOG(35)))</f>
        <v>0.62479689011581119</v>
      </c>
      <c r="F9" s="4">
        <f>(-1.12+(1.13*LOG(45)))</f>
        <v>0.74813014056613802</v>
      </c>
      <c r="G9" s="4">
        <f>(-1.12+(1.13*LOG(15)))</f>
        <v>0.20898312273291975</v>
      </c>
      <c r="H9" s="4">
        <f>(-1.12+(1.13*LOG(25)))</f>
        <v>0.45967220979940238</v>
      </c>
      <c r="I9" s="4">
        <f>(-1.12+(1.13*LOG(35)))</f>
        <v>0.62479689011581119</v>
      </c>
      <c r="J9" s="4">
        <f>(-1.12+(1.13*LOG(45)))</f>
        <v>0.74813014056613802</v>
      </c>
      <c r="K9" s="4">
        <f>(-1.12+(1.13*LOG(55)))</f>
        <v>0.8466098391284953</v>
      </c>
      <c r="L9" s="12">
        <f>(-1.12+(1.13*LOG(65)))</f>
        <v>0.9285920930064262</v>
      </c>
      <c r="M9" t="s">
        <v>118</v>
      </c>
    </row>
    <row r="10" spans="1:22" x14ac:dyDescent="0.3">
      <c r="B10" s="2"/>
      <c r="C10" s="4"/>
      <c r="D10" s="4"/>
      <c r="E10" s="4"/>
      <c r="F10" s="4"/>
      <c r="G10" s="4"/>
      <c r="H10" s="4"/>
      <c r="I10" s="4"/>
      <c r="J10" s="4"/>
      <c r="K10" s="4"/>
      <c r="L10" s="12"/>
    </row>
    <row r="11" spans="1:22" ht="14.55" customHeight="1" x14ac:dyDescent="0.3">
      <c r="A11" s="66" t="s">
        <v>295</v>
      </c>
      <c r="B11" s="26" t="s">
        <v>37</v>
      </c>
      <c r="C11" s="1">
        <v>15</v>
      </c>
      <c r="D11" s="1">
        <v>25</v>
      </c>
      <c r="E11" s="1">
        <v>35</v>
      </c>
      <c r="F11" s="1">
        <v>45</v>
      </c>
      <c r="G11" s="1">
        <v>15</v>
      </c>
      <c r="H11" s="1">
        <v>25</v>
      </c>
      <c r="I11" s="1">
        <v>35</v>
      </c>
      <c r="J11" s="1">
        <v>45</v>
      </c>
      <c r="K11" s="1">
        <v>55</v>
      </c>
      <c r="L11" s="43">
        <v>65</v>
      </c>
      <c r="M11" t="s">
        <v>264</v>
      </c>
      <c r="N11" s="1" t="s">
        <v>169</v>
      </c>
      <c r="O11" s="1" t="s">
        <v>170</v>
      </c>
      <c r="P11" s="69"/>
      <c r="Q11" s="69"/>
      <c r="R11" s="69"/>
      <c r="S11" s="69"/>
      <c r="T11" s="69"/>
      <c r="U11" s="69"/>
      <c r="V11" s="69"/>
    </row>
    <row r="12" spans="1:22" ht="14.55" customHeight="1" x14ac:dyDescent="0.3">
      <c r="A12" s="249"/>
      <c r="B12" s="192" t="s">
        <v>8</v>
      </c>
      <c r="C12" s="209">
        <f>$N12+$O12*LN(C$11)</f>
        <v>0.40325013868607462</v>
      </c>
      <c r="D12" s="209">
        <f t="shared" ref="D12:L14" si="0">$N12+$O12*LN(D$11)</f>
        <v>0.62852423876687646</v>
      </c>
      <c r="E12" s="209">
        <f t="shared" si="0"/>
        <v>0.77690849511683135</v>
      </c>
      <c r="F12" s="209">
        <f t="shared" si="0"/>
        <v>0.88773815798871103</v>
      </c>
      <c r="G12" s="209">
        <f t="shared" si="0"/>
        <v>0.40325013868607462</v>
      </c>
      <c r="H12" s="209">
        <f t="shared" si="0"/>
        <v>0.62852423876687646</v>
      </c>
      <c r="I12" s="209">
        <f t="shared" si="0"/>
        <v>0.77690849511683135</v>
      </c>
      <c r="J12" s="209">
        <f t="shared" si="0"/>
        <v>0.88773815798871103</v>
      </c>
      <c r="K12" s="209">
        <f t="shared" si="0"/>
        <v>0.97623393468751984</v>
      </c>
      <c r="L12" s="210">
        <v>1</v>
      </c>
      <c r="M12" s="28" t="s">
        <v>291</v>
      </c>
      <c r="N12" s="281">
        <v>-0.79100000000000004</v>
      </c>
      <c r="O12" s="281">
        <v>0.441</v>
      </c>
      <c r="P12" s="69"/>
      <c r="Q12" s="69"/>
      <c r="R12" s="69"/>
      <c r="S12" s="69"/>
      <c r="T12" s="69"/>
      <c r="U12" s="69"/>
      <c r="V12" s="69"/>
    </row>
    <row r="13" spans="1:22" ht="14.55" customHeight="1" x14ac:dyDescent="0.3">
      <c r="A13" s="249"/>
      <c r="B13" s="192" t="s">
        <v>7</v>
      </c>
      <c r="C13" s="209">
        <f t="shared" ref="C13" si="1">$N13+$O13*LN(C$11)</f>
        <v>0.31172243795611632</v>
      </c>
      <c r="D13" s="209">
        <f t="shared" si="0"/>
        <v>0.66214881585958563</v>
      </c>
      <c r="E13" s="209">
        <f t="shared" si="0"/>
        <v>0.89296877018173793</v>
      </c>
      <c r="F13" s="222"/>
      <c r="G13" s="209">
        <f t="shared" si="0"/>
        <v>0.31172243795611632</v>
      </c>
      <c r="H13" s="209">
        <f t="shared" si="0"/>
        <v>0.66214881585958563</v>
      </c>
      <c r="I13" s="209">
        <f t="shared" si="0"/>
        <v>0.89296877018173793</v>
      </c>
      <c r="J13" s="209">
        <f t="shared" si="0"/>
        <v>1.0653704679824394</v>
      </c>
      <c r="K13" s="222"/>
      <c r="L13" s="223"/>
      <c r="M13" s="28" t="s">
        <v>291</v>
      </c>
      <c r="N13" s="281">
        <v>-1.546</v>
      </c>
      <c r="O13" s="281">
        <v>0.68600000000000005</v>
      </c>
      <c r="P13" s="69"/>
      <c r="Q13" s="69"/>
      <c r="R13" s="69"/>
      <c r="S13" s="69"/>
      <c r="T13" s="69"/>
      <c r="U13" s="69"/>
      <c r="V13" s="69"/>
    </row>
    <row r="14" spans="1:22" x14ac:dyDescent="0.3">
      <c r="A14" s="250"/>
      <c r="B14" s="6" t="s">
        <v>160</v>
      </c>
      <c r="C14" s="285">
        <v>0.36</v>
      </c>
      <c r="D14" s="9">
        <f t="shared" si="0"/>
        <v>0.3688877432711839</v>
      </c>
      <c r="E14" s="9">
        <f t="shared" si="0"/>
        <v>0.57009814077066912</v>
      </c>
      <c r="F14" s="9">
        <f t="shared" si="0"/>
        <v>0.72038416888265111</v>
      </c>
      <c r="G14" s="9">
        <f t="shared" si="0"/>
        <v>6.3414020259121573E-2</v>
      </c>
      <c r="H14" s="9">
        <f t="shared" si="0"/>
        <v>0.3688877432711839</v>
      </c>
      <c r="I14" s="9">
        <f t="shared" si="0"/>
        <v>0.57009814077066912</v>
      </c>
      <c r="J14" s="9">
        <f t="shared" si="0"/>
        <v>0.72038416888265111</v>
      </c>
      <c r="K14" s="9">
        <f t="shared" si="0"/>
        <v>0.84038524476901744</v>
      </c>
      <c r="L14" s="10">
        <f t="shared" si="0"/>
        <v>0.94028358739759055</v>
      </c>
      <c r="M14" s="28" t="s">
        <v>291</v>
      </c>
      <c r="N14" s="281">
        <v>-1.556</v>
      </c>
      <c r="O14" s="281">
        <v>0.59799999999999998</v>
      </c>
      <c r="P14" s="69"/>
      <c r="Q14" s="69"/>
      <c r="R14" s="69"/>
      <c r="S14" s="69"/>
      <c r="T14" s="69"/>
      <c r="U14" s="69"/>
      <c r="V14" s="69"/>
    </row>
    <row r="15" spans="1:22" x14ac:dyDescent="0.3">
      <c r="B15" s="2"/>
      <c r="C15" s="4"/>
      <c r="J15" s="4"/>
      <c r="K15" s="4"/>
      <c r="L15" s="4"/>
    </row>
    <row r="17" spans="1:22" ht="18" x14ac:dyDescent="0.35">
      <c r="A17" s="313" t="s">
        <v>41</v>
      </c>
      <c r="B17" s="314"/>
      <c r="C17" s="310" t="s">
        <v>13</v>
      </c>
      <c r="D17" s="311"/>
      <c r="E17" s="311"/>
      <c r="F17" s="312"/>
      <c r="G17" s="317" t="s">
        <v>14</v>
      </c>
      <c r="H17" s="318"/>
      <c r="I17" s="318"/>
      <c r="J17" s="318"/>
      <c r="K17" s="318"/>
      <c r="L17" s="319"/>
    </row>
    <row r="18" spans="1:22" x14ac:dyDescent="0.3">
      <c r="A18" s="71" t="s">
        <v>27</v>
      </c>
      <c r="B18" s="72" t="s">
        <v>92</v>
      </c>
      <c r="C18" s="21" t="s">
        <v>0</v>
      </c>
      <c r="D18" s="22" t="s">
        <v>1</v>
      </c>
      <c r="E18" s="22" t="s">
        <v>2</v>
      </c>
      <c r="F18" s="23" t="s">
        <v>3</v>
      </c>
      <c r="G18" s="3" t="s">
        <v>0</v>
      </c>
      <c r="H18" s="3" t="s">
        <v>1</v>
      </c>
      <c r="I18" s="3" t="s">
        <v>2</v>
      </c>
      <c r="J18" s="3" t="s">
        <v>3</v>
      </c>
      <c r="K18" s="3" t="s">
        <v>4</v>
      </c>
      <c r="L18" s="13" t="s">
        <v>303</v>
      </c>
    </row>
    <row r="19" spans="1:22" x14ac:dyDescent="0.3">
      <c r="A19" s="36" t="s">
        <v>6</v>
      </c>
      <c r="B19" s="37" t="s">
        <v>34</v>
      </c>
      <c r="C19" s="94" t="s">
        <v>81</v>
      </c>
      <c r="D19" s="94" t="s">
        <v>56</v>
      </c>
      <c r="E19" s="94" t="s">
        <v>57</v>
      </c>
      <c r="F19" s="94" t="s">
        <v>98</v>
      </c>
      <c r="G19" s="94" t="s">
        <v>81</v>
      </c>
      <c r="H19" s="94" t="s">
        <v>56</v>
      </c>
      <c r="I19" s="94" t="s">
        <v>57</v>
      </c>
      <c r="J19" s="94" t="s">
        <v>98</v>
      </c>
      <c r="K19" s="94" t="s">
        <v>99</v>
      </c>
      <c r="L19" s="95" t="s">
        <v>307</v>
      </c>
      <c r="M19" s="93" t="s">
        <v>114</v>
      </c>
    </row>
    <row r="20" spans="1:22" x14ac:dyDescent="0.3">
      <c r="A20" s="11"/>
      <c r="B20" s="2" t="s">
        <v>30</v>
      </c>
      <c r="C20" s="4">
        <f>0.3462*LN(15)-0.6532</f>
        <v>0.28432697962158515</v>
      </c>
      <c r="D20" s="4">
        <f>0.3462*LN(25)-0.6532</f>
        <v>0.46117481056937115</v>
      </c>
      <c r="E20" s="4">
        <f>0.3462*LN(35)-0.6532</f>
        <v>0.57766149888763496</v>
      </c>
      <c r="F20" s="4">
        <f>0.3462*LN(45)-0.6532</f>
        <v>0.66466655395848462</v>
      </c>
      <c r="G20" s="4">
        <f>0.3462*LN(15)-0.6532</f>
        <v>0.28432697962158515</v>
      </c>
      <c r="H20" s="4">
        <f>0.3462*LN(25)-0.6532</f>
        <v>0.46117481056937115</v>
      </c>
      <c r="I20" s="4">
        <f>0.3462*LN(35)-0.6532</f>
        <v>0.57766149888763496</v>
      </c>
      <c r="J20" s="4">
        <f>0.3462*LN(45)-0.6532</f>
        <v>0.66466655395848462</v>
      </c>
      <c r="K20" s="4">
        <f>0.3462*LN(55)-0.6532</f>
        <v>0.73413874872748153</v>
      </c>
      <c r="L20" s="31">
        <f>0.3462*LN(65)-0.6532</f>
        <v>0.79197287283786943</v>
      </c>
      <c r="M20" t="s">
        <v>111</v>
      </c>
    </row>
    <row r="21" spans="1:22" x14ac:dyDescent="0.3">
      <c r="A21" s="11"/>
      <c r="B21" s="2" t="s">
        <v>25</v>
      </c>
      <c r="C21" s="4">
        <f>0.1868*15^0.2188</f>
        <v>0.33783577674606347</v>
      </c>
      <c r="D21" s="4">
        <f>0.1868*25^0.2188</f>
        <v>0.37778624878683481</v>
      </c>
      <c r="E21" s="4">
        <f>0.1868*35^0.2188</f>
        <v>0.4066482990011826</v>
      </c>
      <c r="F21" s="4">
        <f>0.1868*45^0.2188</f>
        <v>0.42963511494649048</v>
      </c>
      <c r="G21" s="4">
        <f>0.1868*15^0.2188</f>
        <v>0.33783577674606347</v>
      </c>
      <c r="H21" s="4">
        <f>0.1868*25^0.2188</f>
        <v>0.37778624878683481</v>
      </c>
      <c r="I21" s="4">
        <f>0.1868*35^0.2188</f>
        <v>0.4066482990011826</v>
      </c>
      <c r="J21" s="4">
        <f>0.1868*45^0.2188</f>
        <v>0.42963511494649048</v>
      </c>
      <c r="K21" s="31"/>
      <c r="L21" s="32"/>
      <c r="M21" t="s">
        <v>273</v>
      </c>
    </row>
    <row r="22" spans="1:22" x14ac:dyDescent="0.3">
      <c r="A22" s="11"/>
      <c r="B22" s="2" t="s">
        <v>20</v>
      </c>
      <c r="C22" s="4">
        <f>0.0176*15-0.0158</f>
        <v>0.2482</v>
      </c>
      <c r="D22" s="4">
        <f>0.0176*25-0.0158</f>
        <v>0.42420000000000002</v>
      </c>
      <c r="E22" s="4">
        <f>0.0176*35-0.0158</f>
        <v>0.60019999999999996</v>
      </c>
      <c r="F22" s="4">
        <f>0.0176*45-0.0158</f>
        <v>0.7762</v>
      </c>
      <c r="G22" s="4">
        <f>0.0176*15-0.0158</f>
        <v>0.2482</v>
      </c>
      <c r="H22" s="4">
        <f>0.0176*25-0.0158</f>
        <v>0.42420000000000002</v>
      </c>
      <c r="I22" s="4">
        <f>0.0176*35-0.0158</f>
        <v>0.60019999999999996</v>
      </c>
      <c r="J22" s="4">
        <f>0.0176*45-0.0158</f>
        <v>0.7762</v>
      </c>
      <c r="K22" s="4">
        <f>0.0176*55-0.0158</f>
        <v>0.95220000000000005</v>
      </c>
      <c r="L22" s="12">
        <v>1</v>
      </c>
      <c r="M22" t="s">
        <v>113</v>
      </c>
    </row>
    <row r="23" spans="1:22" x14ac:dyDescent="0.3">
      <c r="A23" s="11"/>
      <c r="B23" s="2"/>
      <c r="C23" s="14"/>
      <c r="D23" s="14"/>
      <c r="E23" s="14"/>
      <c r="F23" s="14"/>
      <c r="G23" s="14"/>
      <c r="H23" s="14"/>
      <c r="I23" s="14"/>
      <c r="J23" s="14"/>
      <c r="K23" s="14"/>
      <c r="L23" s="17"/>
    </row>
    <row r="24" spans="1:22" x14ac:dyDescent="0.3">
      <c r="A24" s="42" t="s">
        <v>44</v>
      </c>
      <c r="B24" s="26" t="s">
        <v>45</v>
      </c>
      <c r="C24" s="81" t="s">
        <v>81</v>
      </c>
      <c r="D24" s="81" t="s">
        <v>56</v>
      </c>
      <c r="E24" s="81" t="s">
        <v>57</v>
      </c>
      <c r="F24" s="81" t="s">
        <v>98</v>
      </c>
      <c r="G24" s="81" t="s">
        <v>81</v>
      </c>
      <c r="H24" s="81" t="s">
        <v>56</v>
      </c>
      <c r="I24" s="81" t="s">
        <v>57</v>
      </c>
      <c r="J24" s="81" t="s">
        <v>98</v>
      </c>
      <c r="K24" s="81" t="s">
        <v>99</v>
      </c>
      <c r="L24" s="82" t="s">
        <v>307</v>
      </c>
      <c r="M24" s="93" t="s">
        <v>119</v>
      </c>
    </row>
    <row r="25" spans="1:22" x14ac:dyDescent="0.3">
      <c r="A25" s="11"/>
      <c r="B25" s="2" t="s">
        <v>46</v>
      </c>
      <c r="C25" s="4">
        <f>(0.00147*15^3.11)/100</f>
        <v>6.6828413388252905E-2</v>
      </c>
      <c r="D25" s="4">
        <f>0.00147*25^3.11/100</f>
        <v>0.32727344023610178</v>
      </c>
      <c r="E25" s="4">
        <f>0.00147*35^3.11/100</f>
        <v>0.93189922954548754</v>
      </c>
      <c r="F25" s="31"/>
      <c r="G25" s="4">
        <f>0.00147*15^3.11/100</f>
        <v>6.6828413388252905E-2</v>
      </c>
      <c r="H25" s="4">
        <f>0.00147*25^3.11/100</f>
        <v>0.32727344023610178</v>
      </c>
      <c r="I25" s="4">
        <f>0.00147*35^3.11/100</f>
        <v>0.93189922954548754</v>
      </c>
      <c r="J25" s="31"/>
      <c r="K25" s="31"/>
      <c r="L25" s="32"/>
      <c r="M25" t="s">
        <v>120</v>
      </c>
    </row>
    <row r="26" spans="1:22" x14ac:dyDescent="0.3">
      <c r="A26" s="11"/>
      <c r="L26" s="34"/>
    </row>
    <row r="27" spans="1:22" x14ac:dyDescent="0.3">
      <c r="A27" s="42" t="s">
        <v>22</v>
      </c>
      <c r="B27" s="26" t="s">
        <v>35</v>
      </c>
      <c r="C27" s="81" t="s">
        <v>81</v>
      </c>
      <c r="D27" s="81" t="s">
        <v>56</v>
      </c>
      <c r="E27" s="81" t="s">
        <v>57</v>
      </c>
      <c r="F27" s="81" t="s">
        <v>98</v>
      </c>
      <c r="G27" s="81" t="s">
        <v>81</v>
      </c>
      <c r="H27" s="81" t="s">
        <v>56</v>
      </c>
      <c r="I27" s="81" t="s">
        <v>57</v>
      </c>
      <c r="J27" s="81" t="s">
        <v>98</v>
      </c>
      <c r="K27" s="81" t="s">
        <v>99</v>
      </c>
      <c r="L27" s="82" t="s">
        <v>307</v>
      </c>
      <c r="M27" s="93" t="s">
        <v>119</v>
      </c>
    </row>
    <row r="28" spans="1:22" x14ac:dyDescent="0.3">
      <c r="B28" s="2" t="s">
        <v>52</v>
      </c>
      <c r="C28" s="4">
        <f>(-1.12+(1.13*LOG(15)))</f>
        <v>0.20898312273291975</v>
      </c>
      <c r="D28" s="4">
        <f>(-1.12+(1.13*LOG(25)))</f>
        <v>0.45967220979940238</v>
      </c>
      <c r="E28" s="4">
        <f>(-1.12+(1.13*LOG(35)))</f>
        <v>0.62479689011581119</v>
      </c>
      <c r="F28" s="4">
        <f>(-1.12+(1.13*LOG(45)))</f>
        <v>0.74813014056613802</v>
      </c>
      <c r="G28" s="4">
        <f>(-1.12+(1.13*LOG(15)))</f>
        <v>0.20898312273291975</v>
      </c>
      <c r="H28" s="4">
        <f>(-1.12+(1.13*LOG(25)))</f>
        <v>0.45967220979940238</v>
      </c>
      <c r="I28" s="4">
        <f>(-1.12+(1.13*LOG(35)))</f>
        <v>0.62479689011581119</v>
      </c>
      <c r="J28" s="4">
        <f>(-1.12+(1.13*LOG(45)))</f>
        <v>0.74813014056613802</v>
      </c>
      <c r="K28" s="4">
        <f>(-1.12+(1.13*LOG(55)))</f>
        <v>0.8466098391284953</v>
      </c>
      <c r="L28" s="12">
        <f>(-1.12+(1.13*LOG(65)))</f>
        <v>0.9285920930064262</v>
      </c>
      <c r="M28" t="s">
        <v>118</v>
      </c>
    </row>
    <row r="29" spans="1:22" x14ac:dyDescent="0.3">
      <c r="A29" s="11"/>
      <c r="B29" s="2"/>
      <c r="C29" s="4"/>
      <c r="D29" s="4"/>
      <c r="E29" s="4"/>
      <c r="F29" s="4"/>
      <c r="G29" s="4"/>
      <c r="H29" s="4"/>
      <c r="I29" s="4"/>
      <c r="J29" s="4"/>
      <c r="K29" s="4"/>
      <c r="L29" s="12"/>
    </row>
    <row r="30" spans="1:22" ht="14.55" customHeight="1" x14ac:dyDescent="0.3">
      <c r="A30" s="66" t="s">
        <v>295</v>
      </c>
      <c r="B30" s="26" t="s">
        <v>300</v>
      </c>
      <c r="C30" s="1">
        <v>15</v>
      </c>
      <c r="D30" s="1">
        <v>25</v>
      </c>
      <c r="E30" s="1">
        <v>35</v>
      </c>
      <c r="F30" s="1">
        <v>45</v>
      </c>
      <c r="G30" s="1">
        <v>15</v>
      </c>
      <c r="H30" s="1">
        <v>25</v>
      </c>
      <c r="I30" s="1">
        <v>35</v>
      </c>
      <c r="J30" s="1">
        <v>45</v>
      </c>
      <c r="K30" s="1">
        <v>55</v>
      </c>
      <c r="L30" s="43">
        <v>65</v>
      </c>
      <c r="M30" t="s">
        <v>297</v>
      </c>
      <c r="N30" s="1" t="s">
        <v>169</v>
      </c>
      <c r="O30" s="1" t="s">
        <v>170</v>
      </c>
      <c r="P30" s="69"/>
      <c r="Q30" s="69"/>
      <c r="R30" s="69"/>
      <c r="S30" s="69"/>
      <c r="T30" s="69"/>
      <c r="U30" s="69"/>
      <c r="V30" s="69"/>
    </row>
    <row r="31" spans="1:22" x14ac:dyDescent="0.3">
      <c r="A31" s="247"/>
      <c r="B31" s="2" t="s">
        <v>20</v>
      </c>
      <c r="C31" s="286">
        <v>0.28000000000000003</v>
      </c>
      <c r="D31" s="209">
        <f t="shared" ref="D31:K35" si="2">$N31+$O31*LN(D$30)</f>
        <v>0.3301227246791818</v>
      </c>
      <c r="E31" s="209">
        <f t="shared" si="2"/>
        <v>0.57473804070280377</v>
      </c>
      <c r="F31" s="209">
        <f t="shared" si="2"/>
        <v>0.75744363006302251</v>
      </c>
      <c r="G31" s="286">
        <v>0.28000000000000003</v>
      </c>
      <c r="H31" s="209">
        <f t="shared" si="2"/>
        <v>0.3301227246791818</v>
      </c>
      <c r="I31" s="209">
        <f t="shared" si="2"/>
        <v>0.57473804070280377</v>
      </c>
      <c r="J31" s="209">
        <f t="shared" si="2"/>
        <v>0.75744363006302251</v>
      </c>
      <c r="K31" s="209">
        <f t="shared" si="2"/>
        <v>0.9033312256640067</v>
      </c>
      <c r="L31" s="210">
        <v>1</v>
      </c>
      <c r="M31" s="28" t="s">
        <v>291</v>
      </c>
      <c r="N31" s="281">
        <v>-2.0099999999999998</v>
      </c>
      <c r="O31" s="281">
        <v>0.72699999999999998</v>
      </c>
      <c r="P31" s="69"/>
      <c r="Q31" s="69"/>
      <c r="R31" s="69"/>
      <c r="S31" s="69"/>
      <c r="T31" s="69"/>
      <c r="U31" s="69"/>
      <c r="V31" s="69"/>
    </row>
    <row r="32" spans="1:22" x14ac:dyDescent="0.3">
      <c r="A32" s="247"/>
      <c r="B32" s="2" t="s">
        <v>25</v>
      </c>
      <c r="C32" s="209">
        <f t="shared" ref="C32:C35" si="3">$N32+$O32*LN(C$30)</f>
        <v>0.59406299404138396</v>
      </c>
      <c r="D32" s="209">
        <f t="shared" si="2"/>
        <v>0.70593380564613595</v>
      </c>
      <c r="E32" s="209">
        <f t="shared" si="2"/>
        <v>0.77962122546618151</v>
      </c>
      <c r="F32" s="209">
        <f t="shared" si="2"/>
        <v>0.83465908525970001</v>
      </c>
      <c r="G32" s="209">
        <f t="shared" si="2"/>
        <v>0.59406299404138396</v>
      </c>
      <c r="H32" s="209">
        <f t="shared" si="2"/>
        <v>0.70593380564613595</v>
      </c>
      <c r="I32" s="209">
        <f t="shared" si="2"/>
        <v>0.77962122546618151</v>
      </c>
      <c r="J32" s="209">
        <f t="shared" si="2"/>
        <v>0.83465908525970001</v>
      </c>
      <c r="K32" s="305"/>
      <c r="L32" s="223"/>
      <c r="M32" s="28" t="s">
        <v>291</v>
      </c>
      <c r="N32" s="281">
        <v>1E-3</v>
      </c>
      <c r="O32" s="281">
        <v>0.219</v>
      </c>
      <c r="P32" s="69"/>
      <c r="Q32" s="69"/>
      <c r="R32" s="69"/>
      <c r="S32" s="69"/>
      <c r="T32" s="69"/>
      <c r="U32" s="69"/>
      <c r="V32" s="69"/>
    </row>
    <row r="33" spans="1:15" x14ac:dyDescent="0.3">
      <c r="B33" s="192" t="s">
        <v>134</v>
      </c>
      <c r="C33" s="209">
        <f t="shared" si="3"/>
        <v>0.23580789766122368</v>
      </c>
      <c r="D33" s="209">
        <f t="shared" si="2"/>
        <v>0.35687357049376345</v>
      </c>
      <c r="E33" s="209">
        <f t="shared" si="2"/>
        <v>0.43661749057299093</v>
      </c>
      <c r="F33" s="251"/>
      <c r="G33" s="209">
        <f t="shared" si="2"/>
        <v>0.23580789766122368</v>
      </c>
      <c r="H33" s="209">
        <f t="shared" si="2"/>
        <v>0.35687357049376345</v>
      </c>
      <c r="I33" s="209">
        <f t="shared" si="2"/>
        <v>0.43661749057299093</v>
      </c>
      <c r="J33" s="251"/>
      <c r="K33" s="305"/>
      <c r="L33" s="252"/>
      <c r="M33" s="28" t="s">
        <v>291</v>
      </c>
      <c r="N33" s="281">
        <v>-0.40600000000000003</v>
      </c>
      <c r="O33" s="281">
        <v>0.23699999999999999</v>
      </c>
    </row>
    <row r="34" spans="1:15" x14ac:dyDescent="0.3">
      <c r="B34" s="192" t="s">
        <v>135</v>
      </c>
      <c r="C34" s="209">
        <f t="shared" si="3"/>
        <v>0.25328307448226806</v>
      </c>
      <c r="D34" s="209">
        <f t="shared" si="2"/>
        <v>0.56948413559341615</v>
      </c>
      <c r="E34" s="209">
        <f t="shared" si="2"/>
        <v>0.77776045006194705</v>
      </c>
      <c r="F34" s="209">
        <f t="shared" si="2"/>
        <v>0.93332408116782783</v>
      </c>
      <c r="G34" s="209">
        <f t="shared" si="2"/>
        <v>0.25328307448226806</v>
      </c>
      <c r="H34" s="209">
        <f t="shared" si="2"/>
        <v>0.56948413559341615</v>
      </c>
      <c r="I34" s="209">
        <f t="shared" si="2"/>
        <v>0.77776045006194705</v>
      </c>
      <c r="J34" s="209">
        <f t="shared" si="2"/>
        <v>0.93332408116782783</v>
      </c>
      <c r="K34" s="305"/>
      <c r="L34" s="252"/>
      <c r="M34" s="28" t="s">
        <v>291</v>
      </c>
      <c r="N34" s="281">
        <v>-1.423</v>
      </c>
      <c r="O34" s="281">
        <v>0.61899999999999999</v>
      </c>
    </row>
    <row r="35" spans="1:15" x14ac:dyDescent="0.3">
      <c r="A35" s="231"/>
      <c r="B35" s="6" t="s">
        <v>31</v>
      </c>
      <c r="C35" s="239">
        <f t="shared" si="3"/>
        <v>5.3536333382966872E-2</v>
      </c>
      <c r="D35" s="239">
        <f t="shared" si="2"/>
        <v>0.13833338692812125</v>
      </c>
      <c r="E35" s="253"/>
      <c r="F35" s="254"/>
      <c r="G35" s="239">
        <f t="shared" si="2"/>
        <v>5.3536333382966872E-2</v>
      </c>
      <c r="H35" s="239">
        <f t="shared" si="2"/>
        <v>0.13833338692812125</v>
      </c>
      <c r="I35" s="253"/>
      <c r="J35" s="254"/>
      <c r="K35" s="306"/>
      <c r="L35" s="255"/>
      <c r="M35" s="28" t="s">
        <v>291</v>
      </c>
      <c r="N35" s="281">
        <v>-0.39600000000000002</v>
      </c>
      <c r="O35" s="281">
        <v>0.16600000000000001</v>
      </c>
    </row>
    <row r="36" spans="1:15" x14ac:dyDescent="0.3">
      <c r="B36" s="2"/>
      <c r="C36" s="4"/>
    </row>
    <row r="37" spans="1:15" x14ac:dyDescent="0.3">
      <c r="C37" s="310" t="s">
        <v>13</v>
      </c>
      <c r="D37" s="311"/>
      <c r="E37" s="311"/>
      <c r="F37" s="312"/>
      <c r="G37" s="317" t="s">
        <v>14</v>
      </c>
      <c r="H37" s="318"/>
      <c r="I37" s="318"/>
      <c r="J37" s="318"/>
      <c r="K37" s="318"/>
      <c r="L37" s="319"/>
    </row>
    <row r="38" spans="1:15" x14ac:dyDescent="0.3">
      <c r="A38" s="65" t="s">
        <v>42</v>
      </c>
      <c r="C38" s="21" t="s">
        <v>0</v>
      </c>
      <c r="D38" s="22" t="s">
        <v>1</v>
      </c>
      <c r="E38" s="22" t="s">
        <v>2</v>
      </c>
      <c r="F38" s="23" t="s">
        <v>3</v>
      </c>
      <c r="G38" s="3" t="s">
        <v>0</v>
      </c>
      <c r="H38" s="3" t="s">
        <v>1</v>
      </c>
      <c r="I38" s="3" t="s">
        <v>2</v>
      </c>
      <c r="J38" s="3" t="s">
        <v>3</v>
      </c>
      <c r="K38" s="3" t="s">
        <v>4</v>
      </c>
      <c r="L38" s="298" t="s">
        <v>303</v>
      </c>
    </row>
    <row r="39" spans="1:15" x14ac:dyDescent="0.3">
      <c r="A39" s="56" t="s">
        <v>53</v>
      </c>
      <c r="B39" s="57" t="s">
        <v>237</v>
      </c>
      <c r="C39" s="7">
        <f>C40</f>
        <v>0.41555446367490706</v>
      </c>
      <c r="D39" s="7">
        <f t="shared" ref="D39:K39" si="4">D40</f>
        <v>0.62174922670804911</v>
      </c>
      <c r="E39" s="7">
        <f t="shared" si="4"/>
        <v>0.75756624502020187</v>
      </c>
      <c r="F39" s="7">
        <f t="shared" si="4"/>
        <v>0.8590093139957895</v>
      </c>
      <c r="G39" s="7">
        <f t="shared" si="4"/>
        <v>0.41555446367490706</v>
      </c>
      <c r="H39" s="7">
        <f t="shared" si="4"/>
        <v>0.62174922670804911</v>
      </c>
      <c r="I39" s="7">
        <f t="shared" si="4"/>
        <v>0.75756624502020187</v>
      </c>
      <c r="J39" s="7">
        <f t="shared" si="4"/>
        <v>0.8590093139957895</v>
      </c>
      <c r="K39" s="7">
        <f t="shared" si="4"/>
        <v>0.98811696734375998</v>
      </c>
      <c r="L39" s="8">
        <f>L40</f>
        <v>1</v>
      </c>
      <c r="M39" t="s">
        <v>263</v>
      </c>
    </row>
    <row r="40" spans="1:15" x14ac:dyDescent="0.3">
      <c r="A40" s="58"/>
      <c r="B40" s="59" t="s">
        <v>265</v>
      </c>
      <c r="C40" s="4">
        <f>AVERAGE(C6,C12)</f>
        <v>0.41555446367490706</v>
      </c>
      <c r="D40" s="4">
        <f t="shared" ref="D40:L40" si="5">AVERAGE(D6,D12)</f>
        <v>0.62174922670804911</v>
      </c>
      <c r="E40" s="4">
        <f t="shared" si="5"/>
        <v>0.75756624502020187</v>
      </c>
      <c r="F40" s="4">
        <f t="shared" si="5"/>
        <v>0.8590093139957895</v>
      </c>
      <c r="G40" s="4">
        <f t="shared" si="5"/>
        <v>0.41555446367490706</v>
      </c>
      <c r="H40" s="4">
        <f t="shared" si="5"/>
        <v>0.62174922670804911</v>
      </c>
      <c r="I40" s="4">
        <f t="shared" si="5"/>
        <v>0.75756624502020187</v>
      </c>
      <c r="J40" s="4">
        <f t="shared" si="5"/>
        <v>0.8590093139957895</v>
      </c>
      <c r="K40" s="4">
        <f t="shared" si="5"/>
        <v>0.98811696734375998</v>
      </c>
      <c r="L40" s="12">
        <f t="shared" si="5"/>
        <v>1</v>
      </c>
    </row>
    <row r="41" spans="1:15" x14ac:dyDescent="0.3">
      <c r="A41" s="58"/>
      <c r="B41" s="59" t="s">
        <v>266</v>
      </c>
      <c r="C41" s="4">
        <f>AVERAGE(C5,C13)</f>
        <v>0.35315017561585216</v>
      </c>
      <c r="D41" s="4">
        <f t="shared" ref="D41:E41" si="6">AVERAGE(D5,D13)</f>
        <v>0.59055176401805332</v>
      </c>
      <c r="E41" s="4">
        <f t="shared" si="6"/>
        <v>0.78775284466391771</v>
      </c>
      <c r="F41" s="31"/>
      <c r="G41" s="4">
        <f>AVERAGE(G5,G13)</f>
        <v>0.35315017561585216</v>
      </c>
      <c r="H41" s="4">
        <f t="shared" ref="H41:I41" si="7">AVERAGE(H5,H13)</f>
        <v>0.59055176401805332</v>
      </c>
      <c r="I41" s="4">
        <f t="shared" si="7"/>
        <v>0.78775284466391771</v>
      </c>
      <c r="J41" s="4">
        <f>AVERAGE(J5,J13)</f>
        <v>0.981526563558901</v>
      </c>
      <c r="K41" s="31"/>
      <c r="L41" s="32"/>
    </row>
    <row r="42" spans="1:15" x14ac:dyDescent="0.3">
      <c r="A42" s="58"/>
      <c r="B42" s="59" t="s">
        <v>239</v>
      </c>
      <c r="C42" s="4">
        <f>C41</f>
        <v>0.35315017561585216</v>
      </c>
      <c r="D42" s="4">
        <f t="shared" ref="D42:E42" si="8">D41</f>
        <v>0.59055176401805332</v>
      </c>
      <c r="E42" s="4">
        <f t="shared" si="8"/>
        <v>0.78775284466391771</v>
      </c>
      <c r="F42" s="31"/>
      <c r="G42" s="4">
        <f>G41</f>
        <v>0.35315017561585216</v>
      </c>
      <c r="H42" s="4">
        <f t="shared" ref="H42" si="9">H41</f>
        <v>0.59055176401805332</v>
      </c>
      <c r="I42" s="4">
        <f t="shared" ref="I42" si="10">I41</f>
        <v>0.78775284466391771</v>
      </c>
      <c r="J42" s="31"/>
      <c r="K42" s="31"/>
      <c r="L42" s="32"/>
      <c r="M42" t="s">
        <v>240</v>
      </c>
      <c r="N42" s="2"/>
    </row>
    <row r="43" spans="1:15" x14ac:dyDescent="0.3">
      <c r="A43" s="58"/>
      <c r="B43" s="59" t="s">
        <v>175</v>
      </c>
      <c r="C43" s="4">
        <f>AVERAGE(C9)</f>
        <v>0.20898312273291975</v>
      </c>
      <c r="D43" s="4">
        <f t="shared" ref="D43:K43" si="11">AVERAGE(D9)</f>
        <v>0.45967220979940238</v>
      </c>
      <c r="E43" s="4">
        <f t="shared" si="11"/>
        <v>0.62479689011581119</v>
      </c>
      <c r="F43" s="4">
        <f t="shared" si="11"/>
        <v>0.74813014056613802</v>
      </c>
      <c r="G43" s="4">
        <f t="shared" si="11"/>
        <v>0.20898312273291975</v>
      </c>
      <c r="H43" s="4">
        <f t="shared" si="11"/>
        <v>0.45967220979940238</v>
      </c>
      <c r="I43" s="4">
        <f t="shared" si="11"/>
        <v>0.62479689011581119</v>
      </c>
      <c r="J43" s="4">
        <f t="shared" si="11"/>
        <v>0.74813014056613802</v>
      </c>
      <c r="K43" s="4">
        <f t="shared" si="11"/>
        <v>0.8466098391284953</v>
      </c>
      <c r="L43" s="30"/>
    </row>
    <row r="44" spans="1:15" x14ac:dyDescent="0.3">
      <c r="A44" s="56" t="s">
        <v>79</v>
      </c>
      <c r="B44" s="57" t="s">
        <v>122</v>
      </c>
      <c r="C44" s="7">
        <f>AVERAGE(C22,C28,C31)</f>
        <v>0.24572770757763993</v>
      </c>
      <c r="D44" s="7">
        <f t="shared" ref="D44:K44" si="12">AVERAGE(D22,D28,D31)</f>
        <v>0.40466497815952812</v>
      </c>
      <c r="E44" s="7">
        <f t="shared" si="12"/>
        <v>0.59991164360620497</v>
      </c>
      <c r="F44" s="7">
        <f t="shared" si="12"/>
        <v>0.76059125687638696</v>
      </c>
      <c r="G44" s="7">
        <f t="shared" si="12"/>
        <v>0.24572770757763993</v>
      </c>
      <c r="H44" s="7">
        <f t="shared" si="12"/>
        <v>0.40466497815952812</v>
      </c>
      <c r="I44" s="7">
        <f t="shared" si="12"/>
        <v>0.59991164360620497</v>
      </c>
      <c r="J44" s="7">
        <f t="shared" si="12"/>
        <v>0.76059125687638696</v>
      </c>
      <c r="K44" s="7">
        <f t="shared" si="12"/>
        <v>0.90071368826416742</v>
      </c>
      <c r="L44" s="12">
        <f t="shared" ref="L44" si="13">AVERAGE(L22,L28,L31)</f>
        <v>0.97619736433547544</v>
      </c>
      <c r="M44" s="2"/>
    </row>
    <row r="45" spans="1:15" x14ac:dyDescent="0.3">
      <c r="A45" s="60"/>
      <c r="B45" s="61" t="s">
        <v>32</v>
      </c>
      <c r="C45" s="9">
        <f>C44</f>
        <v>0.24572770757763993</v>
      </c>
      <c r="D45" s="9">
        <f t="shared" ref="D45:K45" si="14">D44</f>
        <v>0.40466497815952812</v>
      </c>
      <c r="E45" s="9">
        <f t="shared" si="14"/>
        <v>0.59991164360620497</v>
      </c>
      <c r="F45" s="9">
        <f t="shared" si="14"/>
        <v>0.76059125687638696</v>
      </c>
      <c r="G45" s="9">
        <f t="shared" si="14"/>
        <v>0.24572770757763993</v>
      </c>
      <c r="H45" s="9">
        <f t="shared" si="14"/>
        <v>0.40466497815952812</v>
      </c>
      <c r="I45" s="9">
        <f t="shared" si="14"/>
        <v>0.59991164360620497</v>
      </c>
      <c r="J45" s="9">
        <f t="shared" si="14"/>
        <v>0.76059125687638696</v>
      </c>
      <c r="K45" s="9">
        <f t="shared" si="14"/>
        <v>0.90071368826416742</v>
      </c>
      <c r="L45" s="10">
        <f t="shared" ref="L45" si="15">L44</f>
        <v>0.97619736433547544</v>
      </c>
      <c r="M45" t="s">
        <v>121</v>
      </c>
    </row>
    <row r="46" spans="1:15" x14ac:dyDescent="0.3">
      <c r="A46" s="56" t="s">
        <v>41</v>
      </c>
      <c r="B46" s="57" t="s">
        <v>235</v>
      </c>
      <c r="C46" s="7">
        <f>C47</f>
        <v>0.28432697962158515</v>
      </c>
      <c r="D46" s="7">
        <f t="shared" ref="D46:K46" si="16">D47</f>
        <v>0.46117481056937115</v>
      </c>
      <c r="E46" s="7">
        <f t="shared" si="16"/>
        <v>0.57766149888763496</v>
      </c>
      <c r="F46" s="7">
        <f t="shared" si="16"/>
        <v>0.66466655395848462</v>
      </c>
      <c r="G46" s="7">
        <f t="shared" si="16"/>
        <v>0.28432697962158515</v>
      </c>
      <c r="H46" s="7">
        <f t="shared" si="16"/>
        <v>0.46117481056937115</v>
      </c>
      <c r="I46" s="7">
        <f t="shared" si="16"/>
        <v>0.57766149888763496</v>
      </c>
      <c r="J46" s="7">
        <f t="shared" si="16"/>
        <v>0.66466655395848462</v>
      </c>
      <c r="K46" s="7">
        <f t="shared" si="16"/>
        <v>0.73413874872748153</v>
      </c>
      <c r="L46" s="12">
        <f>L20</f>
        <v>0.79197287283786943</v>
      </c>
      <c r="M46" t="s">
        <v>244</v>
      </c>
    </row>
    <row r="47" spans="1:15" x14ac:dyDescent="0.3">
      <c r="A47" s="58"/>
      <c r="B47" s="59" t="s">
        <v>222</v>
      </c>
      <c r="C47" s="4">
        <f>AVERAGE(C20)</f>
        <v>0.28432697962158515</v>
      </c>
      <c r="D47" s="4">
        <f t="shared" ref="D47:K47" si="17">AVERAGE(D20)</f>
        <v>0.46117481056937115</v>
      </c>
      <c r="E47" s="4">
        <f t="shared" si="17"/>
        <v>0.57766149888763496</v>
      </c>
      <c r="F47" s="4">
        <f t="shared" si="17"/>
        <v>0.66466655395848462</v>
      </c>
      <c r="G47" s="4">
        <f t="shared" si="17"/>
        <v>0.28432697962158515</v>
      </c>
      <c r="H47" s="4">
        <f t="shared" si="17"/>
        <v>0.46117481056937115</v>
      </c>
      <c r="I47" s="4">
        <f t="shared" si="17"/>
        <v>0.57766149888763496</v>
      </c>
      <c r="J47" s="4">
        <f t="shared" si="17"/>
        <v>0.66466655395848462</v>
      </c>
      <c r="K47" s="4">
        <f t="shared" si="17"/>
        <v>0.73413874872748153</v>
      </c>
      <c r="L47" s="32"/>
    </row>
    <row r="48" spans="1:15" x14ac:dyDescent="0.3">
      <c r="A48" s="62"/>
      <c r="B48" s="59" t="s">
        <v>236</v>
      </c>
      <c r="C48" s="4">
        <f>C47</f>
        <v>0.28432697962158515</v>
      </c>
      <c r="D48" s="4">
        <f t="shared" ref="D48:K48" si="18">D47</f>
        <v>0.46117481056937115</v>
      </c>
      <c r="E48" s="4">
        <f t="shared" si="18"/>
        <v>0.57766149888763496</v>
      </c>
      <c r="F48" s="4">
        <f t="shared" si="18"/>
        <v>0.66466655395848462</v>
      </c>
      <c r="G48" s="4">
        <f t="shared" si="18"/>
        <v>0.28432697962158515</v>
      </c>
      <c r="H48" s="4">
        <f t="shared" si="18"/>
        <v>0.46117481056937115</v>
      </c>
      <c r="I48" s="4">
        <f t="shared" si="18"/>
        <v>0.57766149888763496</v>
      </c>
      <c r="J48" s="4">
        <f t="shared" si="18"/>
        <v>0.66466655395848462</v>
      </c>
      <c r="K48" s="4">
        <f t="shared" si="18"/>
        <v>0.73413874872748153</v>
      </c>
      <c r="L48" s="12">
        <f>L20</f>
        <v>0.79197287283786943</v>
      </c>
      <c r="M48" s="2" t="s">
        <v>243</v>
      </c>
    </row>
    <row r="49" spans="1:13" x14ac:dyDescent="0.3">
      <c r="A49" s="62"/>
      <c r="B49" s="59" t="s">
        <v>267</v>
      </c>
      <c r="C49" s="4">
        <f>AVERAGE(C21,C32)</f>
        <v>0.46594938539372371</v>
      </c>
      <c r="D49" s="4">
        <f t="shared" ref="D49:E49" si="19">AVERAGE(D21,D32)</f>
        <v>0.54186002721648541</v>
      </c>
      <c r="E49" s="4">
        <f t="shared" si="19"/>
        <v>0.593134762233682</v>
      </c>
      <c r="F49" s="4">
        <f>AVERAGE(F21,F32)</f>
        <v>0.63214710010309527</v>
      </c>
      <c r="G49" s="4">
        <f>AVERAGE(G21,G32)</f>
        <v>0.46594938539372371</v>
      </c>
      <c r="H49" s="4">
        <f t="shared" ref="H49:I49" si="20">AVERAGE(H21,H32)</f>
        <v>0.54186002721648541</v>
      </c>
      <c r="I49" s="4">
        <f t="shared" si="20"/>
        <v>0.593134762233682</v>
      </c>
      <c r="J49" s="4">
        <f>AVERAGE(J21,J32)</f>
        <v>0.63214710010309527</v>
      </c>
      <c r="K49" s="31"/>
      <c r="L49" s="32"/>
    </row>
    <row r="50" spans="1:13" x14ac:dyDescent="0.3">
      <c r="A50" s="62"/>
      <c r="B50" s="59" t="s">
        <v>89</v>
      </c>
      <c r="C50" s="4">
        <f>AVERAGE(C25)</f>
        <v>6.6828413388252905E-2</v>
      </c>
      <c r="D50" s="4">
        <f t="shared" ref="D50" si="21">AVERAGE(D25)</f>
        <v>0.32727344023610178</v>
      </c>
      <c r="E50" s="4">
        <f>AVERAGE(E25)</f>
        <v>0.93189922954548754</v>
      </c>
      <c r="F50" s="31"/>
      <c r="G50" s="4">
        <f>AVERAGE(G25)</f>
        <v>6.6828413388252905E-2</v>
      </c>
      <c r="H50" s="4">
        <f t="shared" ref="H50:I50" si="22">AVERAGE(H25)</f>
        <v>0.32727344023610178</v>
      </c>
      <c r="I50" s="4">
        <f t="shared" si="22"/>
        <v>0.93189922954548754</v>
      </c>
      <c r="J50" s="31"/>
      <c r="K50" s="31"/>
      <c r="L50" s="32"/>
    </row>
    <row r="51" spans="1:13" x14ac:dyDescent="0.3">
      <c r="A51" s="62"/>
      <c r="B51" s="59" t="s">
        <v>268</v>
      </c>
      <c r="C51" s="4">
        <f>AVERAGE(C34)</f>
        <v>0.25328307448226806</v>
      </c>
      <c r="D51" s="4">
        <f t="shared" ref="D51:F51" si="23">AVERAGE(D34)</f>
        <v>0.56948413559341615</v>
      </c>
      <c r="E51" s="4">
        <f t="shared" si="23"/>
        <v>0.77776045006194705</v>
      </c>
      <c r="F51" s="4">
        <f t="shared" si="23"/>
        <v>0.93332408116782783</v>
      </c>
      <c r="G51" s="4">
        <f>AVERAGE(G34)</f>
        <v>0.25328307448226806</v>
      </c>
      <c r="H51" s="4">
        <f t="shared" ref="H51:J51" si="24">AVERAGE(H34)</f>
        <v>0.56948413559341615</v>
      </c>
      <c r="I51" s="4">
        <f t="shared" si="24"/>
        <v>0.77776045006194705</v>
      </c>
      <c r="J51" s="4">
        <f t="shared" si="24"/>
        <v>0.93332408116782783</v>
      </c>
      <c r="K51" s="31"/>
      <c r="L51" s="32"/>
    </row>
    <row r="52" spans="1:13" x14ac:dyDescent="0.3">
      <c r="A52" s="62"/>
      <c r="B52" s="59" t="s">
        <v>272</v>
      </c>
      <c r="C52" s="4">
        <f>C54</f>
        <v>0.23580789766122368</v>
      </c>
      <c r="D52" s="4">
        <f t="shared" ref="D52:E52" si="25">D54</f>
        <v>0.35687357049376345</v>
      </c>
      <c r="E52" s="4">
        <f t="shared" si="25"/>
        <v>0.43661749057299093</v>
      </c>
      <c r="F52" s="31"/>
      <c r="G52" s="4">
        <f>G54</f>
        <v>0.23580789766122368</v>
      </c>
      <c r="H52" s="4">
        <f t="shared" ref="H52:I52" si="26">H54</f>
        <v>0.35687357049376345</v>
      </c>
      <c r="I52" s="4">
        <f t="shared" si="26"/>
        <v>0.43661749057299093</v>
      </c>
      <c r="J52" s="31"/>
      <c r="K52" s="31"/>
      <c r="L52" s="32"/>
      <c r="M52" s="2" t="s">
        <v>274</v>
      </c>
    </row>
    <row r="53" spans="1:13" x14ac:dyDescent="0.3">
      <c r="A53" s="62"/>
      <c r="B53" s="59" t="s">
        <v>269</v>
      </c>
      <c r="C53" s="4">
        <f>C54</f>
        <v>0.23580789766122368</v>
      </c>
      <c r="D53" s="4">
        <f t="shared" ref="D53:E53" si="27">D54</f>
        <v>0.35687357049376345</v>
      </c>
      <c r="E53" s="4">
        <f t="shared" si="27"/>
        <v>0.43661749057299093</v>
      </c>
      <c r="F53" s="31"/>
      <c r="G53" s="4">
        <f>G54</f>
        <v>0.23580789766122368</v>
      </c>
      <c r="H53" s="4">
        <f t="shared" ref="H53" si="28">H54</f>
        <v>0.35687357049376345</v>
      </c>
      <c r="I53" s="4">
        <f t="shared" ref="I53" si="29">I54</f>
        <v>0.43661749057299093</v>
      </c>
      <c r="J53" s="31"/>
      <c r="K53" s="31"/>
      <c r="L53" s="32"/>
      <c r="M53" s="2" t="s">
        <v>274</v>
      </c>
    </row>
    <row r="54" spans="1:13" x14ac:dyDescent="0.3">
      <c r="A54" s="62"/>
      <c r="B54" s="59" t="s">
        <v>270</v>
      </c>
      <c r="C54" s="4">
        <f>AVERAGE(C33)</f>
        <v>0.23580789766122368</v>
      </c>
      <c r="D54" s="4">
        <f t="shared" ref="D54:E54" si="30">AVERAGE(D33)</f>
        <v>0.35687357049376345</v>
      </c>
      <c r="E54" s="4">
        <f t="shared" si="30"/>
        <v>0.43661749057299093</v>
      </c>
      <c r="F54" s="31"/>
      <c r="G54" s="4">
        <f>AVERAGE(G33)</f>
        <v>0.23580789766122368</v>
      </c>
      <c r="H54" s="4">
        <f t="shared" ref="H54:I54" si="31">AVERAGE(H33)</f>
        <v>0.35687357049376345</v>
      </c>
      <c r="I54" s="4">
        <f t="shared" si="31"/>
        <v>0.43661749057299093</v>
      </c>
      <c r="J54" s="31"/>
      <c r="K54" s="31"/>
      <c r="L54" s="32"/>
    </row>
    <row r="55" spans="1:13" x14ac:dyDescent="0.3">
      <c r="A55" s="62"/>
      <c r="B55" s="59" t="s">
        <v>223</v>
      </c>
      <c r="C55" s="4">
        <f>AVERAGE(C35)</f>
        <v>5.3536333382966872E-2</v>
      </c>
      <c r="D55" s="4">
        <f>AVERAGE(D35)</f>
        <v>0.13833338692812125</v>
      </c>
      <c r="E55" s="31"/>
      <c r="F55" s="31"/>
      <c r="G55" s="4">
        <f>AVERAGE(G35)</f>
        <v>5.3536333382966872E-2</v>
      </c>
      <c r="H55" s="4">
        <f>AVERAGE(H35)</f>
        <v>0.13833338692812125</v>
      </c>
      <c r="I55" s="31"/>
      <c r="J55" s="31"/>
      <c r="K55" s="31"/>
      <c r="L55" s="32"/>
    </row>
    <row r="56" spans="1:13" x14ac:dyDescent="0.3">
      <c r="A56" s="228"/>
      <c r="B56" s="61" t="s">
        <v>271</v>
      </c>
      <c r="C56" s="9">
        <f>C55</f>
        <v>5.3536333382966872E-2</v>
      </c>
      <c r="D56" s="9">
        <f>D55</f>
        <v>0.13833338692812125</v>
      </c>
      <c r="E56" s="29"/>
      <c r="F56" s="29"/>
      <c r="G56" s="9">
        <f>G55</f>
        <v>5.3536333382966872E-2</v>
      </c>
      <c r="H56" s="9">
        <f>H55</f>
        <v>0.13833338692812125</v>
      </c>
      <c r="I56" s="29"/>
      <c r="J56" s="29"/>
      <c r="K56" s="29"/>
      <c r="L56" s="30"/>
      <c r="M56" s="2" t="s">
        <v>275</v>
      </c>
    </row>
    <row r="57" spans="1:13" x14ac:dyDescent="0.3">
      <c r="A57" s="11"/>
    </row>
    <row r="58" spans="1:13" x14ac:dyDescent="0.3">
      <c r="A58" s="67"/>
      <c r="B58" t="s">
        <v>94</v>
      </c>
    </row>
    <row r="59" spans="1:13" x14ac:dyDescent="0.3">
      <c r="B59" t="s">
        <v>109</v>
      </c>
      <c r="C59" s="4"/>
      <c r="D59" s="4"/>
      <c r="E59" s="4"/>
      <c r="F59" s="4"/>
      <c r="G59" s="4"/>
      <c r="H59" s="4"/>
      <c r="I59" s="4"/>
      <c r="J59" s="4"/>
      <c r="K59" s="4"/>
      <c r="L59" s="4"/>
      <c r="M59" s="2"/>
    </row>
  </sheetData>
  <mergeCells count="9">
    <mergeCell ref="G37:L37"/>
    <mergeCell ref="G2:L2"/>
    <mergeCell ref="G17:L17"/>
    <mergeCell ref="C37:F37"/>
    <mergeCell ref="A1:B1"/>
    <mergeCell ref="A2:B2"/>
    <mergeCell ref="C2:F2"/>
    <mergeCell ref="A17:B17"/>
    <mergeCell ref="C17:F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15"/>
  <sheetViews>
    <sheetView zoomScale="80" zoomScaleNormal="80" workbookViewId="0">
      <selection activeCell="D58" sqref="D58"/>
    </sheetView>
  </sheetViews>
  <sheetFormatPr defaultRowHeight="14.4" x14ac:dyDescent="0.3"/>
  <cols>
    <col min="1" max="1" width="3.77734375" customWidth="1"/>
    <col min="2" max="2" width="2.77734375" customWidth="1"/>
    <col min="3" max="3" width="47.21875" customWidth="1"/>
    <col min="4" max="13" width="10.77734375" customWidth="1"/>
    <col min="14" max="14" width="18.77734375" customWidth="1"/>
    <col min="15" max="15" width="19.21875" customWidth="1"/>
    <col min="16" max="16" width="9.44140625" bestFit="1" customWidth="1"/>
    <col min="17" max="19" width="9.33203125" bestFit="1" customWidth="1"/>
    <col min="20" max="20" width="8.77734375" bestFit="1" customWidth="1"/>
    <col min="21" max="23" width="9.33203125" bestFit="1" customWidth="1"/>
    <col min="24" max="24" width="10.33203125" bestFit="1" customWidth="1"/>
    <col min="25" max="25" width="10.33203125" customWidth="1"/>
    <col min="27" max="27" width="14.21875" customWidth="1"/>
    <col min="28" max="28" width="12" bestFit="1" customWidth="1"/>
    <col min="29" max="29" width="18.5546875" bestFit="1" customWidth="1"/>
    <col min="30" max="30" width="16.44140625" bestFit="1" customWidth="1"/>
    <col min="31" max="31" width="20.44140625" bestFit="1" customWidth="1"/>
  </cols>
  <sheetData>
    <row r="1" spans="1:26" ht="15" thickBot="1" x14ac:dyDescent="0.35">
      <c r="A1" s="96"/>
      <c r="B1" s="97"/>
      <c r="C1" s="97"/>
      <c r="D1" s="97"/>
      <c r="E1" s="97"/>
      <c r="F1" s="97"/>
      <c r="G1" s="97"/>
      <c r="H1" s="97"/>
      <c r="I1" s="97"/>
      <c r="J1" s="97"/>
      <c r="K1" s="97"/>
      <c r="L1" s="97"/>
      <c r="M1" s="97"/>
      <c r="N1" s="97"/>
      <c r="O1" s="97"/>
      <c r="P1" s="97"/>
      <c r="Q1" s="97"/>
      <c r="R1" s="97"/>
      <c r="S1" s="97"/>
      <c r="T1" s="97"/>
      <c r="U1" s="97"/>
      <c r="V1" s="97"/>
      <c r="W1" s="97"/>
      <c r="X1" s="97"/>
      <c r="Y1" s="97"/>
      <c r="Z1" s="98"/>
    </row>
    <row r="2" spans="1:26" ht="15" thickBot="1" x14ac:dyDescent="0.35">
      <c r="A2" s="99"/>
      <c r="B2" s="26"/>
      <c r="C2" s="356" t="s">
        <v>123</v>
      </c>
      <c r="D2" s="357"/>
      <c r="E2" s="357"/>
      <c r="F2" s="357"/>
      <c r="G2" s="357"/>
      <c r="H2" s="357"/>
      <c r="I2" s="357"/>
      <c r="J2" s="357"/>
      <c r="K2" s="357"/>
      <c r="L2" s="357"/>
      <c r="M2" s="357"/>
      <c r="N2" s="357"/>
      <c r="O2" s="357"/>
      <c r="P2" s="357"/>
      <c r="Q2" s="357"/>
      <c r="R2" s="357"/>
      <c r="S2" s="357"/>
      <c r="T2" s="357"/>
      <c r="U2" s="358"/>
      <c r="V2" s="26"/>
      <c r="W2" s="26"/>
      <c r="X2" s="26"/>
      <c r="Y2" s="26"/>
      <c r="Z2" s="100"/>
    </row>
    <row r="3" spans="1:26" ht="15" customHeight="1" x14ac:dyDescent="0.3">
      <c r="A3" s="99"/>
      <c r="B3" s="26"/>
      <c r="C3" s="101"/>
      <c r="D3" s="334" t="s">
        <v>13</v>
      </c>
      <c r="E3" s="335"/>
      <c r="F3" s="335"/>
      <c r="G3" s="359"/>
      <c r="H3" s="369" t="s">
        <v>14</v>
      </c>
      <c r="I3" s="332"/>
      <c r="J3" s="332"/>
      <c r="K3" s="332"/>
      <c r="L3" s="332"/>
      <c r="M3" s="370"/>
      <c r="N3" s="360" t="s">
        <v>191</v>
      </c>
      <c r="O3" s="361"/>
      <c r="P3" s="361"/>
      <c r="Q3" s="361"/>
      <c r="R3" s="361"/>
      <c r="S3" s="361"/>
      <c r="T3" s="361"/>
      <c r="U3" s="362"/>
      <c r="V3" s="26"/>
      <c r="W3" s="26"/>
      <c r="X3" s="26"/>
      <c r="Y3" s="26"/>
      <c r="Z3" s="100"/>
    </row>
    <row r="4" spans="1:26" ht="15" thickBot="1" x14ac:dyDescent="0.35">
      <c r="A4" s="99"/>
      <c r="B4" s="26"/>
      <c r="C4" s="102" t="s">
        <v>124</v>
      </c>
      <c r="D4" s="103" t="s">
        <v>0</v>
      </c>
      <c r="E4" s="103" t="s">
        <v>1</v>
      </c>
      <c r="F4" s="103" t="s">
        <v>2</v>
      </c>
      <c r="G4" s="103" t="s">
        <v>3</v>
      </c>
      <c r="H4" s="103" t="s">
        <v>0</v>
      </c>
      <c r="I4" s="103" t="s">
        <v>1</v>
      </c>
      <c r="J4" s="103" t="s">
        <v>2</v>
      </c>
      <c r="K4" s="103" t="s">
        <v>3</v>
      </c>
      <c r="L4" s="103" t="s">
        <v>4</v>
      </c>
      <c r="M4" s="104" t="s">
        <v>303</v>
      </c>
      <c r="N4" s="363"/>
      <c r="O4" s="364"/>
      <c r="P4" s="364"/>
      <c r="Q4" s="364"/>
      <c r="R4" s="364"/>
      <c r="S4" s="364"/>
      <c r="T4" s="364"/>
      <c r="U4" s="365"/>
      <c r="V4" s="26"/>
      <c r="W4" s="26"/>
      <c r="X4" s="26"/>
      <c r="Y4" s="26"/>
      <c r="Z4" s="100"/>
    </row>
    <row r="5" spans="1:26" x14ac:dyDescent="0.3">
      <c r="A5" s="99"/>
      <c r="B5" s="26"/>
      <c r="C5" s="105" t="s">
        <v>125</v>
      </c>
      <c r="M5" s="205"/>
      <c r="N5" s="366" t="s">
        <v>282</v>
      </c>
      <c r="O5" s="367"/>
      <c r="P5" s="367"/>
      <c r="Q5" s="367"/>
      <c r="R5" s="367"/>
      <c r="S5" s="367"/>
      <c r="T5" s="367"/>
      <c r="U5" s="368"/>
      <c r="V5" s="26"/>
      <c r="W5" s="26"/>
      <c r="X5" s="26"/>
      <c r="Y5" s="26"/>
      <c r="Z5" s="100"/>
    </row>
    <row r="6" spans="1:26" x14ac:dyDescent="0.3">
      <c r="A6" s="99"/>
      <c r="B6" s="26"/>
      <c r="C6" s="105" t="s">
        <v>126</v>
      </c>
      <c r="G6" s="45"/>
      <c r="K6" s="45"/>
      <c r="L6" s="45"/>
      <c r="M6" s="205"/>
      <c r="N6" s="353" t="s">
        <v>282</v>
      </c>
      <c r="O6" s="354"/>
      <c r="P6" s="354"/>
      <c r="Q6" s="354"/>
      <c r="R6" s="354"/>
      <c r="S6" s="354"/>
      <c r="T6" s="354"/>
      <c r="U6" s="355"/>
      <c r="V6" s="26"/>
      <c r="W6" s="26"/>
      <c r="X6" s="26"/>
      <c r="Y6" s="26"/>
      <c r="Z6" s="100"/>
    </row>
    <row r="7" spans="1:26" x14ac:dyDescent="0.3">
      <c r="A7" s="99"/>
      <c r="B7" s="26"/>
      <c r="C7" s="105" t="s">
        <v>127</v>
      </c>
      <c r="D7" s="4">
        <f>P104</f>
        <v>1.0126522768680821</v>
      </c>
      <c r="E7" s="4">
        <f t="shared" ref="E7:M7" si="0">Q104</f>
        <v>2.4245638900191615</v>
      </c>
      <c r="F7" s="4">
        <f t="shared" si="0"/>
        <v>3.4318754376460139</v>
      </c>
      <c r="G7" s="4">
        <f t="shared" si="0"/>
        <v>4.3601044990191822</v>
      </c>
      <c r="H7" s="4">
        <f t="shared" si="0"/>
        <v>1.0126522768680821</v>
      </c>
      <c r="I7" s="4">
        <f t="shared" si="0"/>
        <v>2.1462655371591457</v>
      </c>
      <c r="J7" s="4">
        <f t="shared" si="0"/>
        <v>3.4318754376460139</v>
      </c>
      <c r="K7" s="4">
        <f t="shared" si="0"/>
        <v>4.3601044990191822</v>
      </c>
      <c r="L7" s="4">
        <f t="shared" si="0"/>
        <v>5.7551758613414563</v>
      </c>
      <c r="M7" s="4">
        <f t="shared" si="0"/>
        <v>6.2085582166780586</v>
      </c>
      <c r="N7" s="353"/>
      <c r="O7" s="354"/>
      <c r="P7" s="354"/>
      <c r="Q7" s="354"/>
      <c r="R7" s="354"/>
      <c r="S7" s="354"/>
      <c r="T7" s="354"/>
      <c r="U7" s="355"/>
      <c r="V7" s="26"/>
      <c r="W7" s="26"/>
      <c r="X7" s="26"/>
      <c r="Y7" s="26"/>
      <c r="Z7" s="100"/>
    </row>
    <row r="8" spans="1:26" x14ac:dyDescent="0.3">
      <c r="A8" s="99"/>
      <c r="B8" s="26"/>
      <c r="C8" s="105" t="s">
        <v>29</v>
      </c>
      <c r="D8" s="4">
        <f>P97</f>
        <v>17.564240898620096</v>
      </c>
      <c r="E8" s="4">
        <f t="shared" ref="E8:M8" si="1">Q97</f>
        <v>76.514674817075871</v>
      </c>
      <c r="F8" s="4">
        <f t="shared" si="1"/>
        <v>176.03854240065564</v>
      </c>
      <c r="G8" s="4">
        <f t="shared" si="1"/>
        <v>305.29328685054111</v>
      </c>
      <c r="H8" s="4">
        <f t="shared" si="1"/>
        <v>14.58697638453239</v>
      </c>
      <c r="I8" s="4">
        <f t="shared" si="1"/>
        <v>69.883438845521965</v>
      </c>
      <c r="J8" s="4">
        <f t="shared" si="1"/>
        <v>179.03896920604069</v>
      </c>
      <c r="K8" s="4">
        <f t="shared" si="1"/>
        <v>270.31038698563185</v>
      </c>
      <c r="L8" s="4">
        <f t="shared" si="1"/>
        <v>477.54531811826223</v>
      </c>
      <c r="M8" s="4">
        <f t="shared" si="1"/>
        <v>664.37737681685746</v>
      </c>
      <c r="N8" s="353"/>
      <c r="O8" s="354"/>
      <c r="P8" s="354"/>
      <c r="Q8" s="354"/>
      <c r="R8" s="354"/>
      <c r="S8" s="354"/>
      <c r="T8" s="354"/>
      <c r="U8" s="355"/>
      <c r="V8" s="26"/>
      <c r="W8" s="26"/>
      <c r="X8" s="26"/>
      <c r="Y8" s="26"/>
      <c r="Z8" s="100"/>
    </row>
    <row r="9" spans="1:26" x14ac:dyDescent="0.3">
      <c r="A9" s="99"/>
      <c r="B9" s="26"/>
      <c r="C9" s="206"/>
      <c r="D9" s="26"/>
      <c r="E9" s="26"/>
      <c r="F9" s="26"/>
      <c r="G9" s="26"/>
      <c r="H9" s="26"/>
      <c r="I9" s="26"/>
      <c r="J9" s="26"/>
      <c r="K9" s="26"/>
      <c r="L9" s="26"/>
      <c r="M9" s="100"/>
      <c r="N9" s="353"/>
      <c r="O9" s="354"/>
      <c r="P9" s="354"/>
      <c r="Q9" s="354"/>
      <c r="R9" s="354"/>
      <c r="S9" s="354"/>
      <c r="T9" s="354"/>
      <c r="U9" s="355"/>
      <c r="V9" s="26"/>
      <c r="W9" s="26"/>
      <c r="X9" s="26"/>
      <c r="Y9" s="26"/>
      <c r="Z9" s="100"/>
    </row>
    <row r="10" spans="1:26" x14ac:dyDescent="0.3">
      <c r="A10" s="99"/>
      <c r="B10" s="26"/>
      <c r="C10" s="107" t="s">
        <v>72</v>
      </c>
      <c r="D10" s="4">
        <f>P100</f>
        <v>5.2222726369557986</v>
      </c>
      <c r="E10" s="4">
        <f>Q100</f>
        <v>13.818302339560377</v>
      </c>
      <c r="F10" s="4">
        <f>R100</f>
        <v>44.606630967507741</v>
      </c>
      <c r="G10" s="31"/>
      <c r="H10" s="4">
        <f>T100</f>
        <v>5.0568996063103491</v>
      </c>
      <c r="I10" s="4">
        <f>U100</f>
        <v>13.472702631222031</v>
      </c>
      <c r="J10" s="4">
        <f>V100</f>
        <v>44.606630967507741</v>
      </c>
      <c r="K10" s="31"/>
      <c r="L10" s="31"/>
      <c r="M10" s="31"/>
      <c r="N10" s="353"/>
      <c r="O10" s="354"/>
      <c r="P10" s="354"/>
      <c r="Q10" s="354"/>
      <c r="R10" s="354"/>
      <c r="S10" s="354"/>
      <c r="T10" s="354"/>
      <c r="U10" s="355"/>
      <c r="V10" s="26"/>
      <c r="W10" s="26"/>
      <c r="X10" s="26"/>
      <c r="Y10" s="26"/>
      <c r="Z10" s="100"/>
    </row>
    <row r="11" spans="1:26" x14ac:dyDescent="0.3">
      <c r="A11" s="99"/>
      <c r="B11" s="26"/>
      <c r="C11" s="106" t="s">
        <v>128</v>
      </c>
      <c r="D11" s="4">
        <f>P100</f>
        <v>5.2222726369557986</v>
      </c>
      <c r="E11" s="4">
        <f>Q100</f>
        <v>13.818302339560377</v>
      </c>
      <c r="F11" s="4">
        <f>R100</f>
        <v>44.606630967507741</v>
      </c>
      <c r="G11" s="31"/>
      <c r="H11" s="4">
        <f>T100</f>
        <v>5.0568996063103491</v>
      </c>
      <c r="I11" s="4">
        <f>U100</f>
        <v>13.472702631222031</v>
      </c>
      <c r="J11" s="4">
        <f>V100</f>
        <v>44.606630967507741</v>
      </c>
      <c r="K11" s="31"/>
      <c r="L11" s="31"/>
      <c r="M11" s="31"/>
      <c r="N11" s="353"/>
      <c r="O11" s="354"/>
      <c r="P11" s="354"/>
      <c r="Q11" s="354"/>
      <c r="R11" s="354"/>
      <c r="S11" s="354"/>
      <c r="T11" s="354"/>
      <c r="U11" s="355"/>
      <c r="V11" s="26"/>
      <c r="W11" s="26"/>
      <c r="X11" s="26"/>
      <c r="Y11" s="26"/>
      <c r="Z11" s="100"/>
    </row>
    <row r="12" spans="1:26" x14ac:dyDescent="0.3">
      <c r="A12" s="99"/>
      <c r="B12" s="26"/>
      <c r="C12" s="107" t="s">
        <v>129</v>
      </c>
      <c r="D12" s="4">
        <f>P100</f>
        <v>5.2222726369557986</v>
      </c>
      <c r="E12" s="4">
        <f>Q100</f>
        <v>13.818302339560377</v>
      </c>
      <c r="F12" s="4">
        <f>R100</f>
        <v>44.606630967507741</v>
      </c>
      <c r="G12" s="31"/>
      <c r="H12" s="4">
        <f>T100</f>
        <v>5.0568996063103491</v>
      </c>
      <c r="I12" s="4">
        <f>U100</f>
        <v>13.472702631222031</v>
      </c>
      <c r="J12" s="4">
        <f>V100</f>
        <v>44.606630967507741</v>
      </c>
      <c r="K12" s="31"/>
      <c r="L12" s="31"/>
      <c r="M12" s="31"/>
      <c r="N12" s="353"/>
      <c r="O12" s="354"/>
      <c r="P12" s="354"/>
      <c r="Q12" s="354"/>
      <c r="R12" s="354"/>
      <c r="S12" s="354"/>
      <c r="T12" s="354"/>
      <c r="U12" s="355"/>
      <c r="V12" s="26"/>
      <c r="W12" s="26"/>
      <c r="X12" s="26"/>
      <c r="Y12" s="26"/>
      <c r="Z12" s="100"/>
    </row>
    <row r="13" spans="1:26" x14ac:dyDescent="0.3">
      <c r="A13" s="99"/>
      <c r="B13" s="26"/>
      <c r="C13" s="107" t="s">
        <v>7</v>
      </c>
      <c r="D13" s="4">
        <f>P99</f>
        <v>3.43538497306483</v>
      </c>
      <c r="E13" s="4">
        <f>Q99</f>
        <v>14.385544545506065</v>
      </c>
      <c r="F13" s="4">
        <f>R99</f>
        <v>32.769464679731115</v>
      </c>
      <c r="G13" s="31"/>
      <c r="H13" s="4">
        <f>T99</f>
        <v>2.9227559436511603</v>
      </c>
      <c r="I13" s="4">
        <f>U99</f>
        <v>12.681958481774519</v>
      </c>
      <c r="J13" s="4">
        <f>V99</f>
        <v>32.769464679731115</v>
      </c>
      <c r="K13" s="31"/>
      <c r="L13" s="31"/>
      <c r="M13" s="31"/>
      <c r="N13" s="353"/>
      <c r="O13" s="354"/>
      <c r="P13" s="354"/>
      <c r="Q13" s="354"/>
      <c r="R13" s="354"/>
      <c r="S13" s="354"/>
      <c r="T13" s="354"/>
      <c r="U13" s="355"/>
      <c r="V13" s="26"/>
      <c r="W13" s="26"/>
      <c r="X13" s="26"/>
      <c r="Y13" s="26"/>
      <c r="Z13" s="100"/>
    </row>
    <row r="14" spans="1:26" x14ac:dyDescent="0.3">
      <c r="A14" s="99"/>
      <c r="B14" s="26"/>
      <c r="C14" s="107" t="s">
        <v>8</v>
      </c>
      <c r="D14" s="4">
        <f>P98</f>
        <v>14.984762289950389</v>
      </c>
      <c r="E14" s="4">
        <f>Q98</f>
        <v>72.089202024045875</v>
      </c>
      <c r="F14" s="4">
        <f>R98</f>
        <v>279.86354459723441</v>
      </c>
      <c r="G14" s="4">
        <f>S98</f>
        <v>455.32267436861497</v>
      </c>
      <c r="H14" s="4">
        <f>T98</f>
        <v>14.870434616723756</v>
      </c>
      <c r="I14" s="4">
        <f t="shared" ref="I14:J14" si="2">U98</f>
        <v>73.148814599010649</v>
      </c>
      <c r="J14" s="4">
        <f t="shared" si="2"/>
        <v>263.03749057826144</v>
      </c>
      <c r="K14" s="4">
        <f>W98</f>
        <v>415.01044083284944</v>
      </c>
      <c r="L14" s="4">
        <f>X98</f>
        <v>559.71437213370814</v>
      </c>
      <c r="M14" s="4">
        <f>Y98</f>
        <v>657.29676357813116</v>
      </c>
      <c r="N14" s="353"/>
      <c r="O14" s="354"/>
      <c r="P14" s="354"/>
      <c r="Q14" s="354"/>
      <c r="R14" s="354"/>
      <c r="S14" s="354"/>
      <c r="T14" s="354"/>
      <c r="U14" s="355"/>
      <c r="V14" s="26"/>
      <c r="W14" s="26"/>
      <c r="X14" s="26"/>
      <c r="Y14" s="26"/>
      <c r="Z14" s="100"/>
    </row>
    <row r="15" spans="1:26" x14ac:dyDescent="0.3">
      <c r="A15" s="99"/>
      <c r="B15" s="26"/>
      <c r="C15" s="207"/>
      <c r="D15" s="26"/>
      <c r="E15" s="26"/>
      <c r="F15" s="26"/>
      <c r="G15" s="26"/>
      <c r="H15" s="26"/>
      <c r="I15" s="26"/>
      <c r="J15" s="26"/>
      <c r="K15" s="26"/>
      <c r="L15" s="26"/>
      <c r="M15" s="100"/>
      <c r="N15" s="353"/>
      <c r="O15" s="354"/>
      <c r="P15" s="354"/>
      <c r="Q15" s="354"/>
      <c r="R15" s="354"/>
      <c r="S15" s="354"/>
      <c r="T15" s="354"/>
      <c r="U15" s="355"/>
      <c r="V15" s="26"/>
      <c r="W15" s="26"/>
      <c r="X15" s="26"/>
      <c r="Y15" s="26"/>
      <c r="Z15" s="100"/>
    </row>
    <row r="16" spans="1:26" x14ac:dyDescent="0.3">
      <c r="A16" s="99"/>
      <c r="B16" s="26"/>
      <c r="C16" s="107" t="s">
        <v>130</v>
      </c>
      <c r="D16" s="4">
        <f>P114</f>
        <v>1.3304779299374898</v>
      </c>
      <c r="E16" s="4">
        <f>Q114</f>
        <v>3.9371676615821416</v>
      </c>
      <c r="F16" s="4">
        <f>F17</f>
        <v>16.663852699047769</v>
      </c>
      <c r="G16" s="4">
        <f>G17</f>
        <v>40.53966275686124</v>
      </c>
      <c r="H16" s="4">
        <f t="shared" ref="H16:I16" si="3">T114</f>
        <v>1.2511219151577937</v>
      </c>
      <c r="I16" s="4">
        <f t="shared" si="3"/>
        <v>4.2683420003807546</v>
      </c>
      <c r="J16" s="4">
        <f>J17</f>
        <v>16.814793802354192</v>
      </c>
      <c r="K16" s="4">
        <f>K17</f>
        <v>38.840525612575789</v>
      </c>
      <c r="L16" s="31"/>
      <c r="M16" s="31"/>
      <c r="N16" s="353" t="s">
        <v>308</v>
      </c>
      <c r="O16" s="354"/>
      <c r="P16" s="354"/>
      <c r="Q16" s="354"/>
      <c r="R16" s="354"/>
      <c r="S16" s="354"/>
      <c r="T16" s="354"/>
      <c r="U16" s="355"/>
      <c r="V16" s="26"/>
      <c r="W16" s="26"/>
      <c r="X16" s="26"/>
      <c r="Y16" s="26"/>
      <c r="Z16" s="100"/>
    </row>
    <row r="17" spans="1:26" x14ac:dyDescent="0.3">
      <c r="A17" s="99"/>
      <c r="B17" s="26"/>
      <c r="C17" s="107" t="s">
        <v>131</v>
      </c>
      <c r="D17" s="4">
        <f>P106</f>
        <v>2.0532020270767362</v>
      </c>
      <c r="E17" s="4">
        <f t="shared" ref="E17:L17" si="4">Q106</f>
        <v>9.5819624640987922</v>
      </c>
      <c r="F17" s="4">
        <f t="shared" si="4"/>
        <v>16.663852699047769</v>
      </c>
      <c r="G17" s="4">
        <f t="shared" si="4"/>
        <v>40.53966275686124</v>
      </c>
      <c r="H17" s="4">
        <f t="shared" si="4"/>
        <v>2.7879592249102334</v>
      </c>
      <c r="I17" s="4">
        <f t="shared" si="4"/>
        <v>8.7662728862642627</v>
      </c>
      <c r="J17" s="4">
        <f t="shared" si="4"/>
        <v>16.814793802354192</v>
      </c>
      <c r="K17" s="4">
        <f t="shared" si="4"/>
        <v>38.840525612575789</v>
      </c>
      <c r="L17" s="4">
        <f t="shared" si="4"/>
        <v>51.268049996874019</v>
      </c>
      <c r="M17" s="31"/>
      <c r="N17" s="353"/>
      <c r="O17" s="354"/>
      <c r="P17" s="354"/>
      <c r="Q17" s="354"/>
      <c r="R17" s="354"/>
      <c r="S17" s="354"/>
      <c r="T17" s="354"/>
      <c r="U17" s="355"/>
      <c r="V17" s="26"/>
      <c r="W17" s="26"/>
      <c r="X17" s="26"/>
      <c r="Y17" s="26"/>
      <c r="Z17" s="100"/>
    </row>
    <row r="18" spans="1:26" x14ac:dyDescent="0.3">
      <c r="A18" s="99"/>
      <c r="B18" s="26"/>
      <c r="C18" s="107" t="s">
        <v>46</v>
      </c>
      <c r="D18" s="4">
        <f>P108</f>
        <v>0.41333883711359204</v>
      </c>
      <c r="E18" s="4">
        <f t="shared" ref="E18:J18" si="5">Q108</f>
        <v>4.2996154121040222</v>
      </c>
      <c r="F18" s="4">
        <f t="shared" si="5"/>
        <v>36.769525668489152</v>
      </c>
      <c r="G18" s="31"/>
      <c r="H18" s="4">
        <f t="shared" si="5"/>
        <v>0.41333883711359204</v>
      </c>
      <c r="I18" s="4">
        <f t="shared" si="5"/>
        <v>4.2996154121040222</v>
      </c>
      <c r="J18" s="4">
        <f t="shared" si="5"/>
        <v>36.769525668489152</v>
      </c>
      <c r="K18" s="31"/>
      <c r="L18" s="31"/>
      <c r="M18" s="31"/>
      <c r="N18" s="353"/>
      <c r="O18" s="354"/>
      <c r="P18" s="354"/>
      <c r="Q18" s="354"/>
      <c r="R18" s="354"/>
      <c r="S18" s="354"/>
      <c r="T18" s="354"/>
      <c r="U18" s="355"/>
      <c r="V18" s="26"/>
      <c r="W18" s="26"/>
      <c r="X18" s="26"/>
      <c r="Y18" s="26"/>
      <c r="Z18" s="100"/>
    </row>
    <row r="19" spans="1:26" x14ac:dyDescent="0.3">
      <c r="A19" s="99"/>
      <c r="B19" s="26"/>
      <c r="C19" s="107" t="s">
        <v>132</v>
      </c>
      <c r="D19" s="4">
        <f>P111</f>
        <v>5.1746007258349458</v>
      </c>
      <c r="E19" s="4">
        <f t="shared" ref="E19:F19" si="6">Q111</f>
        <v>5.511245927304814</v>
      </c>
      <c r="F19" s="4">
        <f t="shared" si="6"/>
        <v>13.671846265999191</v>
      </c>
      <c r="G19" s="4">
        <f>G20</f>
        <v>20.935591289917376</v>
      </c>
      <c r="H19" s="4">
        <f>T111</f>
        <v>4.8892222227654178</v>
      </c>
      <c r="I19" s="4">
        <f t="shared" ref="I19" si="7">U111</f>
        <v>6.550211198916883</v>
      </c>
      <c r="J19" s="4">
        <f t="shared" ref="J19" si="8">V111</f>
        <v>13.671846265999191</v>
      </c>
      <c r="K19" s="4">
        <f>K20</f>
        <v>20.935591289917376</v>
      </c>
      <c r="L19" s="31"/>
      <c r="M19" s="31"/>
      <c r="N19" s="353" t="s">
        <v>304</v>
      </c>
      <c r="O19" s="354"/>
      <c r="P19" s="354"/>
      <c r="Q19" s="354"/>
      <c r="R19" s="354"/>
      <c r="S19" s="354"/>
      <c r="T19" s="354"/>
      <c r="U19" s="355"/>
      <c r="V19" s="26"/>
      <c r="W19" s="26"/>
      <c r="X19" s="26"/>
      <c r="Y19" s="26"/>
      <c r="Z19" s="100"/>
    </row>
    <row r="20" spans="1:26" x14ac:dyDescent="0.3">
      <c r="A20" s="99"/>
      <c r="B20" s="26"/>
      <c r="C20" s="107" t="s">
        <v>30</v>
      </c>
      <c r="D20" s="4">
        <f>P105</f>
        <v>1.590295106694156</v>
      </c>
      <c r="E20" s="4">
        <f t="shared" ref="E20:L20" si="9">Q105</f>
        <v>5.0866694542731592</v>
      </c>
      <c r="F20" s="4">
        <f t="shared" si="9"/>
        <v>9.1851582483612244</v>
      </c>
      <c r="G20" s="4">
        <f t="shared" si="9"/>
        <v>20.935591289917376</v>
      </c>
      <c r="H20" s="4">
        <f t="shared" si="9"/>
        <v>1.4348462403979243</v>
      </c>
      <c r="I20" s="4">
        <f t="shared" si="9"/>
        <v>4.4126059957028412</v>
      </c>
      <c r="J20" s="4">
        <f t="shared" si="9"/>
        <v>10.019857101275594</v>
      </c>
      <c r="K20" s="4">
        <f t="shared" si="9"/>
        <v>20.935591289917376</v>
      </c>
      <c r="L20" s="4">
        <f t="shared" si="9"/>
        <v>27.360324235433442</v>
      </c>
      <c r="M20" s="31"/>
      <c r="N20" s="353"/>
      <c r="O20" s="354"/>
      <c r="P20" s="354"/>
      <c r="Q20" s="354"/>
      <c r="R20" s="354"/>
      <c r="S20" s="354"/>
      <c r="T20" s="354"/>
      <c r="U20" s="355"/>
      <c r="V20" s="26"/>
      <c r="W20" s="26"/>
      <c r="X20" s="26"/>
      <c r="Y20" s="26"/>
      <c r="Z20" s="100"/>
    </row>
    <row r="21" spans="1:26" x14ac:dyDescent="0.3">
      <c r="A21" s="99"/>
      <c r="B21" s="26"/>
      <c r="C21" s="107" t="s">
        <v>32</v>
      </c>
      <c r="D21" s="4">
        <f>P103</f>
        <v>1.8969944736695388</v>
      </c>
      <c r="E21" s="4">
        <f t="shared" ref="E21:M21" si="10">Q103</f>
        <v>9.5423851417533161</v>
      </c>
      <c r="F21" s="4">
        <f t="shared" si="10"/>
        <v>35.981268471755698</v>
      </c>
      <c r="G21" s="4">
        <f t="shared" si="10"/>
        <v>89.087223246766811</v>
      </c>
      <c r="H21" s="4">
        <f t="shared" si="10"/>
        <v>1.7382349437575948</v>
      </c>
      <c r="I21" s="4">
        <f t="shared" si="10"/>
        <v>9.8598242403651764</v>
      </c>
      <c r="J21" s="4">
        <f t="shared" si="10"/>
        <v>39.166482178341248</v>
      </c>
      <c r="K21" s="4">
        <f t="shared" si="10"/>
        <v>90.086349425787006</v>
      </c>
      <c r="L21" s="4">
        <f t="shared" si="10"/>
        <v>199.28604507115554</v>
      </c>
      <c r="M21" s="4">
        <f t="shared" si="10"/>
        <v>335.96687103385307</v>
      </c>
      <c r="N21" s="353"/>
      <c r="O21" s="354"/>
      <c r="P21" s="354"/>
      <c r="Q21" s="354"/>
      <c r="R21" s="354"/>
      <c r="S21" s="354"/>
      <c r="T21" s="354"/>
      <c r="U21" s="355"/>
      <c r="V21" s="26"/>
      <c r="W21" s="26"/>
      <c r="X21" s="26"/>
      <c r="Y21" s="26"/>
      <c r="Z21" s="100"/>
    </row>
    <row r="22" spans="1:26" x14ac:dyDescent="0.3">
      <c r="A22" s="99"/>
      <c r="B22" s="26"/>
      <c r="C22" s="107" t="s">
        <v>33</v>
      </c>
      <c r="D22" s="4">
        <f>P111</f>
        <v>5.1746007258349458</v>
      </c>
      <c r="E22" s="4">
        <f t="shared" ref="E22:J22" si="11">Q111</f>
        <v>5.511245927304814</v>
      </c>
      <c r="F22" s="4">
        <f t="shared" si="11"/>
        <v>13.671846265999191</v>
      </c>
      <c r="G22" s="4">
        <f>G20</f>
        <v>20.935591289917376</v>
      </c>
      <c r="H22" s="4">
        <f t="shared" si="11"/>
        <v>4.8892222227654178</v>
      </c>
      <c r="I22" s="4">
        <f t="shared" si="11"/>
        <v>6.550211198916883</v>
      </c>
      <c r="J22" s="4">
        <f t="shared" si="11"/>
        <v>13.671846265999191</v>
      </c>
      <c r="K22" s="4">
        <f>K20</f>
        <v>20.935591289917376</v>
      </c>
      <c r="L22" s="31"/>
      <c r="M22" s="31"/>
      <c r="N22" s="353" t="s">
        <v>304</v>
      </c>
      <c r="O22" s="354"/>
      <c r="P22" s="354"/>
      <c r="Q22" s="354"/>
      <c r="R22" s="354"/>
      <c r="S22" s="354"/>
      <c r="T22" s="354"/>
      <c r="U22" s="355"/>
      <c r="V22" s="26"/>
      <c r="W22" s="26"/>
      <c r="X22" s="26"/>
      <c r="Y22" s="26"/>
      <c r="Z22" s="100"/>
    </row>
    <row r="23" spans="1:26" x14ac:dyDescent="0.3">
      <c r="A23" s="99"/>
      <c r="B23" s="26"/>
      <c r="C23" s="107" t="s">
        <v>25</v>
      </c>
      <c r="D23" s="4">
        <f>P107</f>
        <v>2.0036468859354652</v>
      </c>
      <c r="E23" s="4">
        <f t="shared" ref="E23:K23" si="12">Q107</f>
        <v>8.2531008801695762</v>
      </c>
      <c r="F23" s="4">
        <f t="shared" si="12"/>
        <v>16.148953401409539</v>
      </c>
      <c r="G23" s="4">
        <f t="shared" si="12"/>
        <v>16.673541574639493</v>
      </c>
      <c r="H23" s="4">
        <f t="shared" si="12"/>
        <v>1.7450230572228518</v>
      </c>
      <c r="I23" s="4">
        <f t="shared" si="12"/>
        <v>7.2563860479111799</v>
      </c>
      <c r="J23" s="4">
        <f t="shared" si="12"/>
        <v>15.351093153804335</v>
      </c>
      <c r="K23" s="4">
        <f t="shared" si="12"/>
        <v>13.430063168259437</v>
      </c>
      <c r="L23" s="31"/>
      <c r="M23" s="31"/>
      <c r="N23" s="353"/>
      <c r="O23" s="354"/>
      <c r="P23" s="354"/>
      <c r="Q23" s="354"/>
      <c r="R23" s="354"/>
      <c r="S23" s="354"/>
      <c r="T23" s="354"/>
      <c r="U23" s="355"/>
      <c r="V23" s="26"/>
      <c r="W23" s="26"/>
      <c r="X23" s="26"/>
      <c r="Y23" s="26"/>
      <c r="Z23" s="100"/>
    </row>
    <row r="24" spans="1:26" x14ac:dyDescent="0.3">
      <c r="A24" s="99"/>
      <c r="B24" s="26"/>
      <c r="C24" s="107" t="s">
        <v>164</v>
      </c>
      <c r="D24" s="4">
        <f>P106</f>
        <v>2.0532020270767362</v>
      </c>
      <c r="E24" s="4">
        <f t="shared" ref="E24:M24" si="13">Q106</f>
        <v>9.5819624640987922</v>
      </c>
      <c r="F24" s="4">
        <f t="shared" si="13"/>
        <v>16.663852699047769</v>
      </c>
      <c r="G24" s="4">
        <f t="shared" si="13"/>
        <v>40.53966275686124</v>
      </c>
      <c r="H24" s="4">
        <f t="shared" si="13"/>
        <v>2.7879592249102334</v>
      </c>
      <c r="I24" s="4">
        <f t="shared" si="13"/>
        <v>8.7662728862642627</v>
      </c>
      <c r="J24" s="4">
        <f t="shared" si="13"/>
        <v>16.814793802354192</v>
      </c>
      <c r="K24" s="4">
        <f t="shared" si="13"/>
        <v>38.840525612575789</v>
      </c>
      <c r="L24" s="4">
        <f t="shared" si="13"/>
        <v>51.268049996874019</v>
      </c>
      <c r="M24" s="4">
        <f t="shared" si="13"/>
        <v>55.306854339454013</v>
      </c>
      <c r="N24" s="353"/>
      <c r="O24" s="354"/>
      <c r="P24" s="354"/>
      <c r="Q24" s="354"/>
      <c r="R24" s="354"/>
      <c r="S24" s="354"/>
      <c r="T24" s="354"/>
      <c r="U24" s="355"/>
      <c r="V24" s="26"/>
      <c r="W24" s="26"/>
      <c r="X24" s="26"/>
      <c r="Y24" s="26"/>
      <c r="Z24" s="100"/>
    </row>
    <row r="25" spans="1:26" x14ac:dyDescent="0.3">
      <c r="A25" s="99"/>
      <c r="B25" s="26"/>
      <c r="C25" s="107" t="s">
        <v>31</v>
      </c>
      <c r="D25" s="4">
        <f>P113</f>
        <v>0.16662963955129317</v>
      </c>
      <c r="E25" s="4">
        <f t="shared" ref="E25:I25" si="14">Q113</f>
        <v>1.3518666296650506</v>
      </c>
      <c r="F25" s="31"/>
      <c r="G25" s="31"/>
      <c r="H25" s="4">
        <f t="shared" si="14"/>
        <v>0.15471800786051562</v>
      </c>
      <c r="I25" s="4">
        <f t="shared" si="14"/>
        <v>1.2888230429403218</v>
      </c>
      <c r="J25" s="31"/>
      <c r="K25" s="31"/>
      <c r="L25" s="31"/>
      <c r="M25" s="31"/>
      <c r="N25" s="353"/>
      <c r="O25" s="354"/>
      <c r="P25" s="354"/>
      <c r="Q25" s="354"/>
      <c r="R25" s="354"/>
      <c r="S25" s="354"/>
      <c r="T25" s="354"/>
      <c r="U25" s="355"/>
      <c r="V25" s="26"/>
      <c r="W25" s="26"/>
      <c r="X25" s="26"/>
      <c r="Y25" s="26"/>
      <c r="Z25" s="100"/>
    </row>
    <row r="26" spans="1:26" x14ac:dyDescent="0.3">
      <c r="A26" s="99"/>
      <c r="B26" s="26"/>
      <c r="C26" s="107" t="s">
        <v>20</v>
      </c>
      <c r="D26" s="4">
        <f>P102</f>
        <v>2.594299442177348</v>
      </c>
      <c r="E26" s="4">
        <f t="shared" ref="E26:M26" si="15">Q102</f>
        <v>12.037893482608908</v>
      </c>
      <c r="F26" s="4">
        <f t="shared" si="15"/>
        <v>40.97472477276613</v>
      </c>
      <c r="G26" s="4">
        <f t="shared" si="15"/>
        <v>99.252243736456961</v>
      </c>
      <c r="H26" s="4">
        <f t="shared" si="15"/>
        <v>2.5353471745902345</v>
      </c>
      <c r="I26" s="4">
        <f t="shared" si="15"/>
        <v>12.161234007374153</v>
      </c>
      <c r="J26" s="4">
        <f t="shared" si="15"/>
        <v>43.10666075708162</v>
      </c>
      <c r="K26" s="4">
        <f t="shared" si="15"/>
        <v>93.067792967516354</v>
      </c>
      <c r="L26" s="4">
        <f t="shared" si="15"/>
        <v>170.66729056324894</v>
      </c>
      <c r="M26" s="4">
        <f t="shared" si="15"/>
        <v>297.6696257862028</v>
      </c>
      <c r="N26" s="353"/>
      <c r="O26" s="354"/>
      <c r="P26" s="354"/>
      <c r="Q26" s="354"/>
      <c r="R26" s="354"/>
      <c r="S26" s="354"/>
      <c r="T26" s="354"/>
      <c r="U26" s="355"/>
      <c r="V26" s="26"/>
      <c r="W26" s="26"/>
      <c r="X26" s="26"/>
      <c r="Y26" s="26"/>
      <c r="Z26" s="100"/>
    </row>
    <row r="27" spans="1:26" x14ac:dyDescent="0.3">
      <c r="A27" s="99"/>
      <c r="B27" s="26"/>
      <c r="C27" s="107" t="s">
        <v>133</v>
      </c>
      <c r="D27" s="4">
        <f>P110</f>
        <v>1.2649492640917115</v>
      </c>
      <c r="E27" s="4">
        <f t="shared" ref="E27:J27" si="16">Q110</f>
        <v>4.6226882817460693</v>
      </c>
      <c r="F27" s="4">
        <f t="shared" si="16"/>
        <v>6.2073334161106439</v>
      </c>
      <c r="G27" s="4">
        <f>G20</f>
        <v>20.935591289917376</v>
      </c>
      <c r="H27" s="4">
        <f t="shared" si="16"/>
        <v>1.1720084670502102</v>
      </c>
      <c r="I27" s="4">
        <f t="shared" si="16"/>
        <v>4.4676025941961175</v>
      </c>
      <c r="J27" s="4">
        <f t="shared" si="16"/>
        <v>6.2073334161106439</v>
      </c>
      <c r="K27" s="4">
        <f>K20</f>
        <v>20.935591289917376</v>
      </c>
      <c r="L27" s="31"/>
      <c r="M27" s="31"/>
      <c r="N27" s="353" t="s">
        <v>304</v>
      </c>
      <c r="O27" s="354"/>
      <c r="P27" s="354"/>
      <c r="Q27" s="354"/>
      <c r="R27" s="354"/>
      <c r="S27" s="354"/>
      <c r="T27" s="354"/>
      <c r="U27" s="355"/>
      <c r="V27" s="26"/>
      <c r="W27" s="26"/>
      <c r="X27" s="26"/>
      <c r="Y27" s="26"/>
      <c r="Z27" s="100"/>
    </row>
    <row r="28" spans="1:26" x14ac:dyDescent="0.3">
      <c r="A28" s="99"/>
      <c r="B28" s="26"/>
      <c r="C28" s="107" t="s">
        <v>134</v>
      </c>
      <c r="D28" s="4">
        <f>P112</f>
        <v>3.0566988192136972</v>
      </c>
      <c r="E28" s="4">
        <f t="shared" ref="E28:J28" si="17">Q112</f>
        <v>7.3254525673955309</v>
      </c>
      <c r="F28" s="4">
        <f t="shared" si="17"/>
        <v>25.829409542211561</v>
      </c>
      <c r="G28" s="31"/>
      <c r="H28" s="4">
        <f t="shared" si="17"/>
        <v>2.8828315962180708</v>
      </c>
      <c r="I28" s="4">
        <f t="shared" si="17"/>
        <v>6.3685682916303339</v>
      </c>
      <c r="J28" s="4">
        <f t="shared" si="17"/>
        <v>26.037603403686511</v>
      </c>
      <c r="K28" s="31"/>
      <c r="L28" s="31"/>
      <c r="M28" s="31"/>
      <c r="N28" s="353"/>
      <c r="O28" s="354"/>
      <c r="P28" s="354"/>
      <c r="Q28" s="354"/>
      <c r="R28" s="354"/>
      <c r="S28" s="354"/>
      <c r="T28" s="354"/>
      <c r="U28" s="355"/>
      <c r="V28" s="26"/>
      <c r="W28" s="26"/>
      <c r="X28" s="26"/>
      <c r="Y28" s="26"/>
      <c r="Z28" s="100"/>
    </row>
    <row r="29" spans="1:26" x14ac:dyDescent="0.3">
      <c r="A29" s="99"/>
      <c r="B29" s="26"/>
      <c r="C29" s="107" t="s">
        <v>135</v>
      </c>
      <c r="D29" s="4">
        <f>P109</f>
        <v>1.7213419096877978</v>
      </c>
      <c r="E29" s="4">
        <f t="shared" ref="E29:G29" si="18">Q109</f>
        <v>8.8609016318015499</v>
      </c>
      <c r="F29" s="4">
        <f t="shared" si="18"/>
        <v>16.549662584877364</v>
      </c>
      <c r="G29" s="4">
        <f t="shared" si="18"/>
        <v>20.072043574883491</v>
      </c>
      <c r="H29" s="4">
        <f t="shared" ref="H29:K29" si="19">T109</f>
        <v>1.7287189625432526</v>
      </c>
      <c r="I29" s="4">
        <f t="shared" si="19"/>
        <v>8.8769528487467682</v>
      </c>
      <c r="J29" s="4">
        <f t="shared" si="19"/>
        <v>16.220745618469461</v>
      </c>
      <c r="K29" s="4">
        <f t="shared" si="19"/>
        <v>19.648707519004279</v>
      </c>
      <c r="L29" s="31"/>
      <c r="M29" s="31"/>
      <c r="N29" s="353"/>
      <c r="O29" s="354"/>
      <c r="P29" s="354"/>
      <c r="Q29" s="354"/>
      <c r="R29" s="354"/>
      <c r="S29" s="354"/>
      <c r="T29" s="354"/>
      <c r="U29" s="355"/>
      <c r="V29" s="26"/>
      <c r="W29" s="26"/>
      <c r="X29" s="26"/>
      <c r="Y29" s="26"/>
      <c r="Z29" s="100"/>
    </row>
    <row r="30" spans="1:26" ht="15" thickBot="1" x14ac:dyDescent="0.35">
      <c r="A30" s="99"/>
      <c r="B30" s="26"/>
      <c r="C30" s="108" t="s">
        <v>136</v>
      </c>
      <c r="D30" s="131">
        <f>P114</f>
        <v>1.3304779299374898</v>
      </c>
      <c r="E30" s="131">
        <f t="shared" ref="E30:I30" si="20">Q114</f>
        <v>3.9371676615821416</v>
      </c>
      <c r="F30" s="131">
        <f>F20</f>
        <v>9.1851582483612244</v>
      </c>
      <c r="G30" s="131">
        <f>G20</f>
        <v>20.935591289917376</v>
      </c>
      <c r="H30" s="131">
        <f t="shared" si="20"/>
        <v>1.2511219151577937</v>
      </c>
      <c r="I30" s="131">
        <f t="shared" si="20"/>
        <v>4.2683420003807546</v>
      </c>
      <c r="J30" s="131">
        <f>J20</f>
        <v>10.019857101275594</v>
      </c>
      <c r="K30" s="131">
        <f>K20</f>
        <v>20.935591289917376</v>
      </c>
      <c r="L30" s="132"/>
      <c r="M30" s="132"/>
      <c r="N30" s="350" t="s">
        <v>305</v>
      </c>
      <c r="O30" s="351"/>
      <c r="P30" s="351"/>
      <c r="Q30" s="351"/>
      <c r="R30" s="351"/>
      <c r="S30" s="351"/>
      <c r="T30" s="351"/>
      <c r="U30" s="352"/>
      <c r="V30" s="26"/>
      <c r="W30" s="26"/>
      <c r="X30" s="26"/>
      <c r="Y30" s="26"/>
      <c r="Z30" s="100"/>
    </row>
    <row r="31" spans="1:26" ht="15" thickBot="1" x14ac:dyDescent="0.35">
      <c r="A31" s="99"/>
      <c r="B31" s="26"/>
      <c r="C31" s="26"/>
      <c r="D31" s="26"/>
      <c r="E31" s="26"/>
      <c r="F31" s="26"/>
      <c r="G31" s="26"/>
      <c r="H31" s="26"/>
      <c r="I31" s="26"/>
      <c r="J31" s="26"/>
      <c r="K31" s="26"/>
      <c r="L31" s="26"/>
      <c r="M31" s="26"/>
      <c r="N31" s="26"/>
      <c r="O31" s="26"/>
      <c r="P31" s="26"/>
      <c r="Q31" s="26"/>
      <c r="R31" s="26"/>
      <c r="S31" s="26"/>
      <c r="T31" s="26"/>
      <c r="U31" s="26"/>
      <c r="V31" s="26"/>
      <c r="W31" s="26"/>
      <c r="X31" s="26"/>
      <c r="Y31" s="26"/>
      <c r="Z31" s="100"/>
    </row>
    <row r="32" spans="1:26" ht="15" thickBot="1" x14ac:dyDescent="0.35">
      <c r="A32" s="99"/>
      <c r="B32" s="26"/>
      <c r="C32" s="343" t="s">
        <v>137</v>
      </c>
      <c r="D32" s="332" t="s">
        <v>13</v>
      </c>
      <c r="E32" s="332"/>
      <c r="F32" s="332"/>
      <c r="G32" s="333"/>
      <c r="H32" s="334" t="s">
        <v>14</v>
      </c>
      <c r="I32" s="335"/>
      <c r="J32" s="335"/>
      <c r="K32" s="335"/>
      <c r="L32" s="335"/>
      <c r="M32" s="336"/>
      <c r="N32" s="26"/>
      <c r="O32" s="26"/>
      <c r="P32" s="26"/>
      <c r="Q32" s="26"/>
      <c r="R32" s="26"/>
      <c r="S32" s="26"/>
      <c r="T32" s="26"/>
      <c r="U32" s="26"/>
      <c r="V32" s="26"/>
      <c r="W32" s="26"/>
      <c r="X32" s="26"/>
      <c r="Y32" s="26"/>
      <c r="Z32" s="100"/>
    </row>
    <row r="33" spans="1:49" x14ac:dyDescent="0.3">
      <c r="A33" s="99"/>
      <c r="B33" s="26"/>
      <c r="C33" s="344"/>
      <c r="D33" s="109" t="s">
        <v>0</v>
      </c>
      <c r="E33" s="109" t="s">
        <v>1</v>
      </c>
      <c r="F33" s="109" t="s">
        <v>2</v>
      </c>
      <c r="G33" s="110" t="s">
        <v>3</v>
      </c>
      <c r="H33" s="111" t="s">
        <v>0</v>
      </c>
      <c r="I33" s="111" t="s">
        <v>1</v>
      </c>
      <c r="J33" s="111" t="s">
        <v>2</v>
      </c>
      <c r="K33" s="111" t="s">
        <v>3</v>
      </c>
      <c r="L33" s="111" t="s">
        <v>4</v>
      </c>
      <c r="M33" s="112" t="s">
        <v>303</v>
      </c>
      <c r="N33" s="26"/>
      <c r="O33" s="337" t="s">
        <v>138</v>
      </c>
      <c r="P33" s="338"/>
      <c r="Q33" s="338"/>
      <c r="R33" s="338"/>
      <c r="S33" s="338"/>
      <c r="T33" s="338"/>
      <c r="U33" s="338"/>
      <c r="V33" s="338"/>
      <c r="W33" s="338"/>
      <c r="X33" s="338"/>
      <c r="Y33" s="339"/>
      <c r="Z33" s="100"/>
    </row>
    <row r="34" spans="1:49" ht="15.75" customHeight="1" thickBot="1" x14ac:dyDescent="0.35">
      <c r="A34" s="113"/>
      <c r="B34" s="327" t="s">
        <v>139</v>
      </c>
      <c r="C34" s="138" t="s">
        <v>66</v>
      </c>
      <c r="D34" s="139">
        <f>'Proportion leaving scars'!C39</f>
        <v>0.41555446367490706</v>
      </c>
      <c r="E34" s="7">
        <f>'Proportion leaving scars'!D39</f>
        <v>0.62174922670804911</v>
      </c>
      <c r="F34" s="7">
        <f>'Proportion leaving scars'!E39</f>
        <v>0.75756624502020187</v>
      </c>
      <c r="G34" s="7">
        <f>'Proportion leaving scars'!F39</f>
        <v>0.8590093139957895</v>
      </c>
      <c r="H34" s="7">
        <f>'Proportion leaving scars'!G39</f>
        <v>0.41555446367490706</v>
      </c>
      <c r="I34" s="7">
        <f>'Proportion leaving scars'!H39</f>
        <v>0.62174922670804911</v>
      </c>
      <c r="J34" s="7">
        <f>'Proportion leaving scars'!I39</f>
        <v>0.75756624502020187</v>
      </c>
      <c r="K34" s="7">
        <f>'Proportion leaving scars'!J39</f>
        <v>0.8590093139957895</v>
      </c>
      <c r="L34" s="7">
        <f>'Proportion leaving scars'!K39</f>
        <v>0.98811696734375998</v>
      </c>
      <c r="M34" s="114">
        <f>'Proportion leaving scars'!L39</f>
        <v>1</v>
      </c>
      <c r="N34" s="26"/>
      <c r="O34" s="340" t="s">
        <v>301</v>
      </c>
      <c r="P34" s="341"/>
      <c r="Q34" s="341"/>
      <c r="R34" s="341"/>
      <c r="S34" s="341"/>
      <c r="T34" s="341"/>
      <c r="U34" s="341"/>
      <c r="V34" s="341"/>
      <c r="W34" s="341"/>
      <c r="X34" s="341"/>
      <c r="Y34" s="342"/>
      <c r="Z34" s="100"/>
    </row>
    <row r="35" spans="1:49" ht="14.55" customHeight="1" x14ac:dyDescent="0.3">
      <c r="A35" s="113"/>
      <c r="B35" s="327"/>
      <c r="C35" s="141" t="s">
        <v>54</v>
      </c>
      <c r="D35" s="142">
        <f>'Proportion leaving scars'!C40</f>
        <v>0.41555446367490706</v>
      </c>
      <c r="E35" s="4">
        <f>'Proportion leaving scars'!D40</f>
        <v>0.62174922670804911</v>
      </c>
      <c r="F35" s="4">
        <f>'Proportion leaving scars'!E40</f>
        <v>0.75756624502020187</v>
      </c>
      <c r="G35" s="4">
        <f>'Proportion leaving scars'!F40</f>
        <v>0.8590093139957895</v>
      </c>
      <c r="H35" s="4">
        <f>'Proportion leaving scars'!G40</f>
        <v>0.41555446367490706</v>
      </c>
      <c r="I35" s="4">
        <f>'Proportion leaving scars'!H40</f>
        <v>0.62174922670804911</v>
      </c>
      <c r="J35" s="4">
        <f>'Proportion leaving scars'!I40</f>
        <v>0.75756624502020187</v>
      </c>
      <c r="K35" s="4">
        <f>'Proportion leaving scars'!J40</f>
        <v>0.8590093139957895</v>
      </c>
      <c r="L35" s="4">
        <f>'Proportion leaving scars'!K40</f>
        <v>0.98811696734375998</v>
      </c>
      <c r="M35" s="115">
        <f>'Proportion leaving scars'!L40</f>
        <v>1</v>
      </c>
      <c r="N35" s="26"/>
      <c r="O35" s="26"/>
      <c r="P35" s="26"/>
      <c r="Q35" s="26"/>
      <c r="R35" s="26"/>
      <c r="S35" s="26"/>
      <c r="T35" s="26"/>
      <c r="U35" s="26"/>
      <c r="V35" s="26"/>
      <c r="W35" s="26"/>
      <c r="X35" s="26"/>
      <c r="Y35" s="26"/>
      <c r="Z35" s="100"/>
    </row>
    <row r="36" spans="1:49" ht="15" customHeight="1" x14ac:dyDescent="0.3">
      <c r="A36" s="26"/>
      <c r="B36" s="327"/>
      <c r="C36" s="141" t="s">
        <v>277</v>
      </c>
      <c r="D36" s="142">
        <f>'Proportion leaving scars'!C41</f>
        <v>0.35315017561585216</v>
      </c>
      <c r="E36" s="4">
        <f>'Proportion leaving scars'!D41</f>
        <v>0.59055176401805332</v>
      </c>
      <c r="F36" s="4">
        <f>'Proportion leaving scars'!E41</f>
        <v>0.78775284466391771</v>
      </c>
      <c r="G36" s="31"/>
      <c r="H36" s="4">
        <f>'Proportion leaving scars'!G41</f>
        <v>0.35315017561585216</v>
      </c>
      <c r="I36" s="4">
        <f>'Proportion leaving scars'!H41</f>
        <v>0.59055176401805332</v>
      </c>
      <c r="J36" s="4">
        <f>'Proportion leaving scars'!I41</f>
        <v>0.78775284466391771</v>
      </c>
      <c r="K36" s="31"/>
      <c r="L36" s="31"/>
      <c r="M36" s="116"/>
      <c r="N36" s="26"/>
      <c r="O36" s="26"/>
      <c r="P36" s="26"/>
      <c r="Q36" s="26"/>
      <c r="R36" s="26"/>
      <c r="S36" s="26"/>
      <c r="T36" s="26"/>
      <c r="U36" s="26"/>
      <c r="V36" s="26"/>
      <c r="W36" s="26"/>
      <c r="X36" s="26"/>
      <c r="Y36" s="26"/>
      <c r="Z36" s="100"/>
    </row>
    <row r="37" spans="1:49" x14ac:dyDescent="0.3">
      <c r="A37" s="328" t="s">
        <v>140</v>
      </c>
      <c r="B37" s="327"/>
      <c r="C37" s="141" t="s">
        <v>239</v>
      </c>
      <c r="D37" s="142">
        <f>'Proportion leaving scars'!C42</f>
        <v>0.35315017561585216</v>
      </c>
      <c r="E37" s="4">
        <f>'Proportion leaving scars'!D42</f>
        <v>0.59055176401805332</v>
      </c>
      <c r="F37" s="4">
        <f>'Proportion leaving scars'!E42</f>
        <v>0.78775284466391771</v>
      </c>
      <c r="G37" s="31"/>
      <c r="H37" s="4">
        <f>'Proportion leaving scars'!G42</f>
        <v>0.35315017561585216</v>
      </c>
      <c r="I37" s="4">
        <f>'Proportion leaving scars'!H42</f>
        <v>0.59055176401805332</v>
      </c>
      <c r="J37" s="4">
        <f>'Proportion leaving scars'!I42</f>
        <v>0.78775284466391771</v>
      </c>
      <c r="K37" s="31"/>
      <c r="L37" s="31"/>
      <c r="M37" s="116"/>
      <c r="N37" s="26"/>
      <c r="O37" s="26"/>
      <c r="P37" s="26"/>
      <c r="Q37" s="26"/>
      <c r="R37" s="26"/>
      <c r="S37" s="26"/>
      <c r="T37" s="26"/>
      <c r="U37" s="26"/>
      <c r="V37" s="26"/>
      <c r="W37" s="26"/>
      <c r="X37" s="26"/>
      <c r="Y37" s="26"/>
      <c r="Z37" s="100"/>
    </row>
    <row r="38" spans="1:49" ht="15.75" customHeight="1" x14ac:dyDescent="0.3">
      <c r="A38" s="328"/>
      <c r="B38" s="327"/>
      <c r="C38" s="141" t="s">
        <v>51</v>
      </c>
      <c r="D38" s="142">
        <f>'Proportion leaving scars'!C43</f>
        <v>0.20898312273291975</v>
      </c>
      <c r="E38" s="4">
        <f>'Proportion leaving scars'!D43</f>
        <v>0.45967220979940238</v>
      </c>
      <c r="F38" s="4">
        <f>'Proportion leaving scars'!E43</f>
        <v>0.62479689011581119</v>
      </c>
      <c r="G38" s="4">
        <f>'Proportion leaving scars'!F43</f>
        <v>0.74813014056613802</v>
      </c>
      <c r="H38" s="4">
        <f>'Proportion leaving scars'!G43</f>
        <v>0.20898312273291975</v>
      </c>
      <c r="I38" s="4">
        <f>'Proportion leaving scars'!H43</f>
        <v>0.45967220979940238</v>
      </c>
      <c r="J38" s="4">
        <f>'Proportion leaving scars'!I43</f>
        <v>0.62479689011581119</v>
      </c>
      <c r="K38" s="4">
        <f>'Proportion leaving scars'!J43</f>
        <v>0.74813014056613802</v>
      </c>
      <c r="L38" s="4">
        <f>'Proportion leaving scars'!K43</f>
        <v>0.8466098391284953</v>
      </c>
      <c r="M38" s="116"/>
      <c r="N38" s="117"/>
      <c r="O38" s="117"/>
      <c r="P38" s="26"/>
      <c r="Q38" s="26"/>
      <c r="R38" s="26"/>
      <c r="S38" s="26"/>
      <c r="T38" s="26"/>
      <c r="U38" s="117"/>
      <c r="V38" s="26"/>
      <c r="W38" s="26"/>
      <c r="X38" s="26"/>
      <c r="Y38" s="26"/>
      <c r="Z38" s="100"/>
      <c r="AL38" s="345"/>
      <c r="AM38" s="345"/>
      <c r="AN38" s="345"/>
      <c r="AO38" s="345"/>
      <c r="AP38" s="345"/>
      <c r="AQ38" s="345"/>
      <c r="AR38" s="345"/>
    </row>
    <row r="39" spans="1:49" x14ac:dyDescent="0.3">
      <c r="A39" s="328"/>
      <c r="B39" s="117"/>
      <c r="C39" s="138" t="s">
        <v>20</v>
      </c>
      <c r="D39" s="139">
        <f>'Proportion leaving scars'!C44</f>
        <v>0.24572770757763993</v>
      </c>
      <c r="E39" s="7">
        <f>'Proportion leaving scars'!D44</f>
        <v>0.40466497815952812</v>
      </c>
      <c r="F39" s="7">
        <f>'Proportion leaving scars'!E44</f>
        <v>0.59991164360620497</v>
      </c>
      <c r="G39" s="7">
        <f>'Proportion leaving scars'!F44</f>
        <v>0.76059125687638696</v>
      </c>
      <c r="H39" s="7">
        <f>'Proportion leaving scars'!G44</f>
        <v>0.24572770757763993</v>
      </c>
      <c r="I39" s="7">
        <f>'Proportion leaving scars'!H44</f>
        <v>0.40466497815952812</v>
      </c>
      <c r="J39" s="7">
        <f>'Proportion leaving scars'!I44</f>
        <v>0.59991164360620497</v>
      </c>
      <c r="K39" s="7">
        <f>'Proportion leaving scars'!J44</f>
        <v>0.76059125687638696</v>
      </c>
      <c r="L39" s="7">
        <f>'Proportion leaving scars'!K44</f>
        <v>0.90071368826416742</v>
      </c>
      <c r="M39" s="114">
        <f>'Proportion leaving scars'!L44</f>
        <v>0.97619736433547544</v>
      </c>
      <c r="N39" s="119"/>
      <c r="O39" s="119"/>
      <c r="P39" s="26"/>
      <c r="Q39" s="26"/>
      <c r="R39" s="26"/>
      <c r="S39" s="26"/>
      <c r="T39" s="26"/>
      <c r="U39" s="1"/>
      <c r="V39" s="26"/>
      <c r="W39" s="1"/>
      <c r="X39" s="120"/>
      <c r="Y39" s="120"/>
      <c r="Z39" s="121"/>
      <c r="AA39" s="3"/>
      <c r="AB39" s="345"/>
      <c r="AC39" s="345"/>
      <c r="AD39" s="345"/>
      <c r="AE39" s="345"/>
      <c r="AF39" s="345"/>
      <c r="AG39" s="345"/>
      <c r="AH39" s="345"/>
      <c r="AL39" s="122"/>
      <c r="AM39" s="3"/>
      <c r="AN39" s="3"/>
      <c r="AO39" s="3"/>
      <c r="AP39" s="3"/>
      <c r="AQ39" s="3"/>
      <c r="AR39" s="3"/>
      <c r="AT39" s="3"/>
      <c r="AU39" s="123"/>
      <c r="AV39" s="3"/>
      <c r="AW39" s="3"/>
    </row>
    <row r="40" spans="1:49" ht="15" customHeight="1" x14ac:dyDescent="0.3">
      <c r="A40" s="328"/>
      <c r="B40" s="26"/>
      <c r="C40" s="144" t="s">
        <v>32</v>
      </c>
      <c r="D40" s="145">
        <f>'Proportion leaving scars'!C45</f>
        <v>0.24572770757763993</v>
      </c>
      <c r="E40" s="9">
        <f>'Proportion leaving scars'!D45</f>
        <v>0.40466497815952812</v>
      </c>
      <c r="F40" s="9">
        <f>'Proportion leaving scars'!E45</f>
        <v>0.59991164360620497</v>
      </c>
      <c r="G40" s="9">
        <f>'Proportion leaving scars'!F45</f>
        <v>0.76059125687638696</v>
      </c>
      <c r="H40" s="9">
        <f>'Proportion leaving scars'!G45</f>
        <v>0.24572770757763993</v>
      </c>
      <c r="I40" s="9">
        <f>'Proportion leaving scars'!H45</f>
        <v>0.40466497815952812</v>
      </c>
      <c r="J40" s="9">
        <f>'Proportion leaving scars'!I45</f>
        <v>0.59991164360620497</v>
      </c>
      <c r="K40" s="9">
        <f>'Proportion leaving scars'!J45</f>
        <v>0.76059125687638696</v>
      </c>
      <c r="L40" s="9">
        <f>'Proportion leaving scars'!K45</f>
        <v>0.90071368826416742</v>
      </c>
      <c r="M40" s="118">
        <f>'Proportion leaving scars'!L45</f>
        <v>0.97619736433547544</v>
      </c>
      <c r="N40" s="124"/>
      <c r="O40" s="124"/>
      <c r="P40" s="26"/>
      <c r="Q40" s="26"/>
      <c r="R40" s="26"/>
      <c r="S40" s="26"/>
      <c r="T40" s="26"/>
      <c r="U40" s="26"/>
      <c r="V40" s="125"/>
      <c r="W40" s="125"/>
      <c r="X40" s="125"/>
      <c r="Y40" s="125"/>
      <c r="Z40" s="126"/>
      <c r="AB40" s="122"/>
      <c r="AC40" s="3"/>
      <c r="AD40" s="3"/>
      <c r="AE40" s="3"/>
      <c r="AF40" s="3"/>
      <c r="AG40" s="3"/>
      <c r="AK40" s="122"/>
      <c r="AL40" s="88"/>
      <c r="AM40" s="88"/>
      <c r="AN40" s="88"/>
      <c r="AO40" s="88"/>
      <c r="AP40" s="88"/>
      <c r="AQ40" s="88"/>
      <c r="AS40" s="24"/>
      <c r="AT40" s="24"/>
      <c r="AU40" s="24"/>
      <c r="AV40" s="24"/>
      <c r="AW40" s="24"/>
    </row>
    <row r="41" spans="1:49" ht="15" thickBot="1" x14ac:dyDescent="0.35">
      <c r="A41" s="328"/>
      <c r="B41" s="327" t="s">
        <v>141</v>
      </c>
      <c r="C41" s="138" t="s">
        <v>235</v>
      </c>
      <c r="D41" s="139">
        <f>'Proportion leaving scars'!C46</f>
        <v>0.28432697962158515</v>
      </c>
      <c r="E41" s="7">
        <f>'Proportion leaving scars'!D46</f>
        <v>0.46117481056937115</v>
      </c>
      <c r="F41" s="7">
        <f>'Proportion leaving scars'!E46</f>
        <v>0.57766149888763496</v>
      </c>
      <c r="G41" s="7">
        <f>'Proportion leaving scars'!F46</f>
        <v>0.66466655395848462</v>
      </c>
      <c r="H41" s="7">
        <f>'Proportion leaving scars'!G46</f>
        <v>0.28432697962158515</v>
      </c>
      <c r="I41" s="7">
        <f>'Proportion leaving scars'!H46</f>
        <v>0.46117481056937115</v>
      </c>
      <c r="J41" s="7">
        <f>'Proportion leaving scars'!I46</f>
        <v>0.57766149888763496</v>
      </c>
      <c r="K41" s="7">
        <f>'Proportion leaving scars'!J46</f>
        <v>0.66466655395848462</v>
      </c>
      <c r="L41" s="7">
        <f>'Proportion leaving scars'!K46</f>
        <v>0.73413874872748153</v>
      </c>
      <c r="M41" s="114">
        <f>'Proportion leaving scars'!L46</f>
        <v>0.79197287283786943</v>
      </c>
      <c r="N41" s="127"/>
      <c r="O41" s="127"/>
      <c r="P41" s="117" t="s">
        <v>142</v>
      </c>
      <c r="Q41" s="117"/>
      <c r="R41" s="117"/>
      <c r="S41" s="117"/>
      <c r="T41" s="117"/>
      <c r="U41" s="26"/>
      <c r="V41" s="92"/>
      <c r="W41" s="92"/>
      <c r="X41" s="92"/>
      <c r="Y41" s="92"/>
      <c r="Z41" s="128"/>
      <c r="AB41" s="122"/>
      <c r="AC41" s="24"/>
      <c r="AD41" s="24"/>
      <c r="AE41" s="24"/>
      <c r="AF41" s="24"/>
      <c r="AG41" s="24"/>
      <c r="AK41" s="122"/>
      <c r="AL41" s="89"/>
      <c r="AM41" s="89"/>
      <c r="AN41" s="90"/>
      <c r="AO41" s="91"/>
      <c r="AP41" s="91"/>
      <c r="AQ41" s="90"/>
      <c r="AS41" s="129"/>
      <c r="AT41" s="129"/>
      <c r="AU41" s="129"/>
      <c r="AV41" s="129"/>
      <c r="AW41" s="129"/>
    </row>
    <row r="42" spans="1:49" x14ac:dyDescent="0.3">
      <c r="A42" s="328"/>
      <c r="B42" s="327"/>
      <c r="C42" s="141" t="s">
        <v>30</v>
      </c>
      <c r="D42" s="142">
        <f>'Proportion leaving scars'!C47</f>
        <v>0.28432697962158515</v>
      </c>
      <c r="E42" s="4">
        <f>'Proportion leaving scars'!D47</f>
        <v>0.46117481056937115</v>
      </c>
      <c r="F42" s="4">
        <f>'Proportion leaving scars'!E47</f>
        <v>0.57766149888763496</v>
      </c>
      <c r="G42" s="4">
        <f>'Proportion leaving scars'!F47</f>
        <v>0.66466655395848462</v>
      </c>
      <c r="H42" s="4">
        <f>'Proportion leaving scars'!G47</f>
        <v>0.28432697962158515</v>
      </c>
      <c r="I42" s="4">
        <f>'Proportion leaving scars'!H47</f>
        <v>0.46117481056937115</v>
      </c>
      <c r="J42" s="4">
        <f>'Proportion leaving scars'!I47</f>
        <v>0.57766149888763496</v>
      </c>
      <c r="K42" s="4">
        <f>'Proportion leaving scars'!J47</f>
        <v>0.66466655395848462</v>
      </c>
      <c r="L42" s="4">
        <f>'Proportion leaving scars'!K47</f>
        <v>0.73413874872748153</v>
      </c>
      <c r="M42" s="116"/>
      <c r="N42" s="124"/>
      <c r="O42" s="124"/>
      <c r="P42" s="346" t="s">
        <v>144</v>
      </c>
      <c r="Q42" s="347"/>
      <c r="R42" s="347"/>
      <c r="S42" s="347"/>
      <c r="T42" s="130">
        <v>83.25</v>
      </c>
      <c r="U42" s="26"/>
      <c r="V42" s="125"/>
      <c r="W42" s="92"/>
      <c r="X42" s="92"/>
      <c r="Y42" s="92"/>
      <c r="Z42" s="128"/>
      <c r="AB42" s="122"/>
      <c r="AC42" s="129"/>
      <c r="AD42" s="129"/>
      <c r="AE42" s="129"/>
      <c r="AF42" s="129"/>
      <c r="AG42" s="129"/>
      <c r="AK42" s="122"/>
      <c r="AL42" s="88"/>
      <c r="AM42" s="88"/>
      <c r="AN42" s="88"/>
      <c r="AO42" s="88"/>
      <c r="AP42" s="88"/>
      <c r="AQ42" s="88"/>
      <c r="AS42" s="24"/>
      <c r="AT42" s="129"/>
      <c r="AU42" s="129"/>
      <c r="AV42" s="129"/>
      <c r="AW42" s="129"/>
    </row>
    <row r="43" spans="1:49" ht="15" thickBot="1" x14ac:dyDescent="0.35">
      <c r="A43" s="113"/>
      <c r="B43" s="327"/>
      <c r="C43" s="141" t="s">
        <v>236</v>
      </c>
      <c r="D43" s="142">
        <f>'Proportion leaving scars'!C48</f>
        <v>0.28432697962158515</v>
      </c>
      <c r="E43" s="4">
        <f>'Proportion leaving scars'!D48</f>
        <v>0.46117481056937115</v>
      </c>
      <c r="F43" s="4">
        <f>'Proportion leaving scars'!E48</f>
        <v>0.57766149888763496</v>
      </c>
      <c r="G43" s="4">
        <f>'Proportion leaving scars'!F48</f>
        <v>0.66466655395848462</v>
      </c>
      <c r="H43" s="4">
        <f>'Proportion leaving scars'!G48</f>
        <v>0.28432697962158515</v>
      </c>
      <c r="I43" s="4">
        <f>'Proportion leaving scars'!H48</f>
        <v>0.46117481056937115</v>
      </c>
      <c r="J43" s="4">
        <f>'Proportion leaving scars'!I48</f>
        <v>0.57766149888763496</v>
      </c>
      <c r="K43" s="4">
        <f>'Proportion leaving scars'!J48</f>
        <v>0.66466655395848462</v>
      </c>
      <c r="L43" s="4">
        <f>'Proportion leaving scars'!K48</f>
        <v>0.73413874872748153</v>
      </c>
      <c r="M43" s="115">
        <f>'Proportion leaving scars'!L48</f>
        <v>0.79197287283786943</v>
      </c>
      <c r="N43" s="124"/>
      <c r="O43" s="124"/>
      <c r="P43" s="348" t="s">
        <v>145</v>
      </c>
      <c r="Q43" s="349"/>
      <c r="R43" s="349"/>
      <c r="S43" s="349"/>
      <c r="T43" s="134">
        <v>87.7</v>
      </c>
      <c r="U43" s="26"/>
      <c r="V43" s="26"/>
      <c r="W43" s="26"/>
      <c r="X43" s="26"/>
      <c r="Y43" s="26"/>
      <c r="Z43" s="100"/>
      <c r="AB43" s="122"/>
      <c r="AC43" s="129"/>
      <c r="AD43" s="129"/>
      <c r="AE43" s="129"/>
      <c r="AF43" s="129"/>
      <c r="AG43" s="129"/>
      <c r="AK43" s="122"/>
      <c r="AL43" s="88"/>
      <c r="AM43" s="88"/>
      <c r="AN43" s="88"/>
      <c r="AO43" s="88"/>
      <c r="AP43" s="88"/>
      <c r="AQ43" s="88"/>
    </row>
    <row r="44" spans="1:49" ht="14.55" customHeight="1" x14ac:dyDescent="0.3">
      <c r="A44" s="113"/>
      <c r="B44" s="327"/>
      <c r="C44" s="141" t="s">
        <v>278</v>
      </c>
      <c r="D44" s="142">
        <f>'Proportion leaving scars'!C49</f>
        <v>0.46594938539372371</v>
      </c>
      <c r="E44" s="4">
        <f>'Proportion leaving scars'!D49</f>
        <v>0.54186002721648541</v>
      </c>
      <c r="F44" s="4">
        <f>'Proportion leaving scars'!E49</f>
        <v>0.593134762233682</v>
      </c>
      <c r="G44" s="4">
        <f>'Proportion leaving scars'!F49</f>
        <v>0.63214710010309527</v>
      </c>
      <c r="H44" s="4">
        <f>'Proportion leaving scars'!G49</f>
        <v>0.46594938539372371</v>
      </c>
      <c r="I44" s="4">
        <f>'Proportion leaving scars'!H49</f>
        <v>0.54186002721648541</v>
      </c>
      <c r="J44" s="4">
        <f>'Proportion leaving scars'!I49</f>
        <v>0.593134762233682</v>
      </c>
      <c r="K44" s="4">
        <f>'Proportion leaving scars'!J49</f>
        <v>0.63214710010309527</v>
      </c>
      <c r="L44" s="31"/>
      <c r="M44" s="116"/>
      <c r="N44" s="124"/>
      <c r="O44" s="124"/>
      <c r="P44" s="258"/>
      <c r="Q44" s="258"/>
      <c r="R44" s="258"/>
      <c r="S44" s="258"/>
      <c r="T44" s="26"/>
      <c r="U44" s="26"/>
      <c r="V44" s="26"/>
      <c r="W44" s="26"/>
      <c r="X44" s="26"/>
      <c r="Y44" s="26"/>
      <c r="Z44" s="100"/>
      <c r="AB44" s="122"/>
      <c r="AC44" s="129"/>
      <c r="AD44" s="129"/>
      <c r="AE44" s="129"/>
      <c r="AF44" s="129"/>
      <c r="AG44" s="129"/>
      <c r="AK44" s="122"/>
      <c r="AL44" s="88"/>
      <c r="AM44" s="88"/>
      <c r="AN44" s="88"/>
      <c r="AO44" s="88"/>
      <c r="AP44" s="88"/>
      <c r="AQ44" s="88"/>
    </row>
    <row r="45" spans="1:49" ht="14.55" customHeight="1" x14ac:dyDescent="0.3">
      <c r="A45" s="113"/>
      <c r="B45" s="327"/>
      <c r="C45" s="141" t="s">
        <v>143</v>
      </c>
      <c r="D45" s="142">
        <f>'Proportion leaving scars'!C50</f>
        <v>6.6828413388252905E-2</v>
      </c>
      <c r="E45" s="4">
        <f>'Proportion leaving scars'!D50</f>
        <v>0.32727344023610178</v>
      </c>
      <c r="F45" s="4">
        <f>'Proportion leaving scars'!E50</f>
        <v>0.93189922954548754</v>
      </c>
      <c r="G45" s="31"/>
      <c r="H45" s="4">
        <f>'Proportion leaving scars'!G50</f>
        <v>6.6828413388252905E-2</v>
      </c>
      <c r="I45" s="4">
        <f>'Proportion leaving scars'!H50</f>
        <v>0.32727344023610178</v>
      </c>
      <c r="J45" s="4">
        <f>'Proportion leaving scars'!I50</f>
        <v>0.93189922954548754</v>
      </c>
      <c r="K45" s="31"/>
      <c r="L45" s="31"/>
      <c r="M45" s="116"/>
      <c r="N45" s="124"/>
      <c r="O45" s="124"/>
      <c r="P45" s="258"/>
      <c r="Q45" s="258"/>
      <c r="R45" s="258"/>
      <c r="S45" s="258"/>
      <c r="T45" s="26"/>
      <c r="U45" s="26"/>
      <c r="V45" s="26"/>
      <c r="W45" s="26"/>
      <c r="X45" s="26"/>
      <c r="Y45" s="26"/>
      <c r="Z45" s="100"/>
      <c r="AB45" s="122"/>
      <c r="AC45" s="129"/>
      <c r="AD45" s="129"/>
      <c r="AE45" s="129"/>
      <c r="AF45" s="129"/>
      <c r="AG45" s="129"/>
      <c r="AK45" s="122"/>
      <c r="AL45" s="88"/>
      <c r="AM45" s="88"/>
      <c r="AN45" s="88"/>
      <c r="AO45" s="88"/>
      <c r="AP45" s="88"/>
      <c r="AQ45" s="88"/>
    </row>
    <row r="46" spans="1:49" x14ac:dyDescent="0.3">
      <c r="A46" s="113"/>
      <c r="B46" s="327"/>
      <c r="C46" s="141" t="s">
        <v>279</v>
      </c>
      <c r="D46" s="142">
        <f>'Proportion leaving scars'!C51</f>
        <v>0.25328307448226806</v>
      </c>
      <c r="E46" s="4">
        <f>'Proportion leaving scars'!D51</f>
        <v>0.56948413559341615</v>
      </c>
      <c r="F46" s="4">
        <f>'Proportion leaving scars'!E51</f>
        <v>0.77776045006194705</v>
      </c>
      <c r="G46" s="4">
        <f>'Proportion leaving scars'!F51</f>
        <v>0.93332408116782783</v>
      </c>
      <c r="H46" s="4">
        <f>'Proportion leaving scars'!G51</f>
        <v>0.25328307448226806</v>
      </c>
      <c r="I46" s="4">
        <f>'Proportion leaving scars'!H51</f>
        <v>0.56948413559341615</v>
      </c>
      <c r="J46" s="4">
        <f>'Proportion leaving scars'!I51</f>
        <v>0.77776045006194705</v>
      </c>
      <c r="K46" s="4">
        <f>'Proportion leaving scars'!J51</f>
        <v>0.93332408116782783</v>
      </c>
      <c r="L46" s="31"/>
      <c r="M46" s="116"/>
      <c r="N46" s="124"/>
      <c r="O46" s="124"/>
      <c r="P46" s="258"/>
      <c r="Q46" s="258"/>
      <c r="R46" s="258"/>
      <c r="S46" s="258"/>
      <c r="T46" s="26"/>
      <c r="U46" s="26"/>
      <c r="V46" s="26"/>
      <c r="W46" s="26"/>
      <c r="X46" s="26"/>
      <c r="Y46" s="26"/>
      <c r="Z46" s="100"/>
      <c r="AB46" s="122"/>
      <c r="AC46" s="129"/>
      <c r="AD46" s="129"/>
      <c r="AE46" s="129"/>
      <c r="AF46" s="129"/>
      <c r="AG46" s="129"/>
      <c r="AK46" s="122"/>
      <c r="AL46" s="88"/>
      <c r="AM46" s="88"/>
      <c r="AN46" s="88"/>
      <c r="AO46" s="88"/>
      <c r="AP46" s="88"/>
      <c r="AQ46" s="88"/>
    </row>
    <row r="47" spans="1:49" x14ac:dyDescent="0.3">
      <c r="A47" s="113"/>
      <c r="B47" s="327"/>
      <c r="C47" s="141" t="s">
        <v>272</v>
      </c>
      <c r="D47" s="142">
        <f>'Proportion leaving scars'!C52</f>
        <v>0.23580789766122368</v>
      </c>
      <c r="E47" s="4">
        <f>'Proportion leaving scars'!D52</f>
        <v>0.35687357049376345</v>
      </c>
      <c r="F47" s="4">
        <f>'Proportion leaving scars'!E52</f>
        <v>0.43661749057299093</v>
      </c>
      <c r="G47" s="31"/>
      <c r="H47" s="4">
        <f>'Proportion leaving scars'!G52</f>
        <v>0.23580789766122368</v>
      </c>
      <c r="I47" s="4">
        <f>'Proportion leaving scars'!H52</f>
        <v>0.35687357049376345</v>
      </c>
      <c r="J47" s="4">
        <f>'Proportion leaving scars'!I52</f>
        <v>0.43661749057299093</v>
      </c>
      <c r="K47" s="31"/>
      <c r="L47" s="31"/>
      <c r="M47" s="116"/>
      <c r="N47" s="124"/>
      <c r="O47" s="124"/>
      <c r="P47" s="258"/>
      <c r="Q47" s="258"/>
      <c r="R47" s="258"/>
      <c r="S47" s="258"/>
      <c r="T47" s="26"/>
      <c r="U47" s="26"/>
      <c r="V47" s="26"/>
      <c r="W47" s="26"/>
      <c r="X47" s="26"/>
      <c r="Y47" s="26"/>
      <c r="Z47" s="100"/>
      <c r="AB47" s="122"/>
      <c r="AC47" s="129"/>
      <c r="AD47" s="129"/>
      <c r="AE47" s="129"/>
      <c r="AF47" s="129"/>
      <c r="AG47" s="129"/>
      <c r="AK47" s="122"/>
      <c r="AL47" s="88"/>
      <c r="AM47" s="88"/>
      <c r="AN47" s="88"/>
      <c r="AO47" s="88"/>
      <c r="AP47" s="88"/>
      <c r="AQ47" s="88"/>
    </row>
    <row r="48" spans="1:49" x14ac:dyDescent="0.3">
      <c r="A48" s="113"/>
      <c r="B48" s="327"/>
      <c r="C48" s="141" t="s">
        <v>269</v>
      </c>
      <c r="D48" s="142">
        <f>'Proportion leaving scars'!C53</f>
        <v>0.23580789766122368</v>
      </c>
      <c r="E48" s="4">
        <f>'Proportion leaving scars'!D53</f>
        <v>0.35687357049376345</v>
      </c>
      <c r="F48" s="4">
        <f>'Proportion leaving scars'!E53</f>
        <v>0.43661749057299093</v>
      </c>
      <c r="G48" s="31"/>
      <c r="H48" s="4">
        <f>'Proportion leaving scars'!G53</f>
        <v>0.23580789766122368</v>
      </c>
      <c r="I48" s="4">
        <f>'Proportion leaving scars'!H53</f>
        <v>0.35687357049376345</v>
      </c>
      <c r="J48" s="4">
        <f>'Proportion leaving scars'!I53</f>
        <v>0.43661749057299093</v>
      </c>
      <c r="K48" s="31"/>
      <c r="L48" s="31"/>
      <c r="M48" s="116"/>
      <c r="N48" s="124"/>
      <c r="O48" s="124"/>
      <c r="P48" s="258"/>
      <c r="Q48" s="258"/>
      <c r="R48" s="258"/>
      <c r="S48" s="258"/>
      <c r="T48" s="26"/>
      <c r="U48" s="26"/>
      <c r="V48" s="26"/>
      <c r="W48" s="26"/>
      <c r="X48" s="26"/>
      <c r="Y48" s="26"/>
      <c r="Z48" s="100"/>
      <c r="AB48" s="122"/>
      <c r="AC48" s="129"/>
      <c r="AD48" s="129"/>
      <c r="AE48" s="129"/>
      <c r="AF48" s="129"/>
      <c r="AG48" s="129"/>
      <c r="AK48" s="122"/>
      <c r="AL48" s="88"/>
      <c r="AM48" s="88"/>
      <c r="AN48" s="88"/>
      <c r="AO48" s="88"/>
      <c r="AP48" s="88"/>
      <c r="AQ48" s="88"/>
    </row>
    <row r="49" spans="1:44" x14ac:dyDescent="0.3">
      <c r="A49" s="113"/>
      <c r="B49" s="327"/>
      <c r="C49" s="141" t="s">
        <v>280</v>
      </c>
      <c r="D49" s="142">
        <f>'Proportion leaving scars'!C54</f>
        <v>0.23580789766122368</v>
      </c>
      <c r="E49" s="4">
        <f>'Proportion leaving scars'!D54</f>
        <v>0.35687357049376345</v>
      </c>
      <c r="F49" s="4">
        <f>'Proportion leaving scars'!E54</f>
        <v>0.43661749057299093</v>
      </c>
      <c r="G49" s="31"/>
      <c r="H49" s="4">
        <f>'Proportion leaving scars'!G54</f>
        <v>0.23580789766122368</v>
      </c>
      <c r="I49" s="4">
        <f>'Proportion leaving scars'!H54</f>
        <v>0.35687357049376345</v>
      </c>
      <c r="J49" s="4">
        <f>'Proportion leaving scars'!I54</f>
        <v>0.43661749057299093</v>
      </c>
      <c r="K49" s="31"/>
      <c r="L49" s="31"/>
      <c r="M49" s="116"/>
      <c r="N49" s="124"/>
      <c r="O49" s="124"/>
      <c r="P49" s="258"/>
      <c r="Q49" s="258"/>
      <c r="R49" s="258"/>
      <c r="S49" s="258"/>
      <c r="T49" s="26"/>
      <c r="U49" s="26"/>
      <c r="V49" s="26"/>
      <c r="W49" s="26"/>
      <c r="X49" s="26"/>
      <c r="Y49" s="26"/>
      <c r="Z49" s="100"/>
      <c r="AB49" s="122"/>
      <c r="AC49" s="129"/>
      <c r="AD49" s="129"/>
      <c r="AE49" s="129"/>
      <c r="AF49" s="129"/>
      <c r="AG49" s="129"/>
      <c r="AK49" s="122"/>
      <c r="AL49" s="88"/>
      <c r="AM49" s="88"/>
      <c r="AN49" s="88"/>
      <c r="AO49" s="88"/>
      <c r="AP49" s="88"/>
      <c r="AQ49" s="88"/>
    </row>
    <row r="50" spans="1:44" x14ac:dyDescent="0.3">
      <c r="A50" s="113"/>
      <c r="B50" s="327"/>
      <c r="C50" s="141" t="s">
        <v>31</v>
      </c>
      <c r="D50" s="142">
        <f>'Proportion leaving scars'!C55</f>
        <v>5.3536333382966872E-2</v>
      </c>
      <c r="E50" s="4">
        <f>'Proportion leaving scars'!D55</f>
        <v>0.13833338692812125</v>
      </c>
      <c r="F50" s="31"/>
      <c r="G50" s="31"/>
      <c r="H50" s="4">
        <f>'Proportion leaving scars'!G55</f>
        <v>5.3536333382966872E-2</v>
      </c>
      <c r="I50" s="4">
        <f>'Proportion leaving scars'!H55</f>
        <v>0.13833338692812125</v>
      </c>
      <c r="J50" s="31"/>
      <c r="K50" s="31"/>
      <c r="L50" s="31"/>
      <c r="M50" s="116"/>
      <c r="N50" s="124"/>
      <c r="O50" s="124"/>
      <c r="P50" s="258"/>
      <c r="Q50" s="258"/>
      <c r="R50" s="258"/>
      <c r="S50" s="258"/>
      <c r="T50" s="26"/>
      <c r="U50" s="26"/>
      <c r="V50" s="26"/>
      <c r="W50" s="26"/>
      <c r="X50" s="26"/>
      <c r="Y50" s="26"/>
      <c r="Z50" s="100"/>
      <c r="AB50" s="122"/>
      <c r="AC50" s="129"/>
      <c r="AD50" s="129"/>
      <c r="AE50" s="129"/>
      <c r="AF50" s="129"/>
      <c r="AG50" s="129"/>
      <c r="AK50" s="122"/>
      <c r="AL50" s="88"/>
      <c r="AM50" s="88"/>
      <c r="AN50" s="88"/>
      <c r="AO50" s="88"/>
      <c r="AP50" s="88"/>
      <c r="AQ50" s="88"/>
    </row>
    <row r="51" spans="1:44" ht="15" thickBot="1" x14ac:dyDescent="0.35">
      <c r="A51" s="113"/>
      <c r="B51" s="327"/>
      <c r="C51" s="146" t="s">
        <v>271</v>
      </c>
      <c r="D51" s="147">
        <f>'Proportion leaving scars'!C56</f>
        <v>5.3536333382966872E-2</v>
      </c>
      <c r="E51" s="131">
        <f>'Proportion leaving scars'!D56</f>
        <v>0.13833338692812125</v>
      </c>
      <c r="F51" s="132"/>
      <c r="G51" s="132"/>
      <c r="H51" s="131">
        <f>'Proportion leaving scars'!G56</f>
        <v>5.3536333382966872E-2</v>
      </c>
      <c r="I51" s="131">
        <f>'Proportion leaving scars'!H56</f>
        <v>0.13833338692812125</v>
      </c>
      <c r="J51" s="132"/>
      <c r="K51" s="132"/>
      <c r="L51" s="132"/>
      <c r="M51" s="133"/>
      <c r="N51" s="124"/>
      <c r="O51" s="124"/>
      <c r="P51" s="258"/>
      <c r="Q51" s="258"/>
      <c r="R51" s="258"/>
      <c r="S51" s="258"/>
      <c r="T51" s="26"/>
      <c r="U51" s="26"/>
      <c r="V51" s="26"/>
      <c r="W51" s="26"/>
      <c r="X51" s="26"/>
      <c r="Y51" s="26"/>
      <c r="Z51" s="100"/>
      <c r="AB51" s="122"/>
      <c r="AC51" s="129"/>
      <c r="AD51" s="129"/>
      <c r="AE51" s="129"/>
      <c r="AF51" s="129"/>
      <c r="AG51" s="129"/>
      <c r="AK51" s="122"/>
      <c r="AL51" s="88"/>
      <c r="AM51" s="88"/>
      <c r="AN51" s="88"/>
      <c r="AO51" s="88"/>
      <c r="AP51" s="88"/>
      <c r="AQ51" s="88"/>
    </row>
    <row r="52" spans="1:44" ht="15" thickBot="1" x14ac:dyDescent="0.35">
      <c r="A52" s="99"/>
      <c r="B52" s="26"/>
      <c r="C52" s="26"/>
      <c r="D52" s="55"/>
      <c r="E52" s="55"/>
      <c r="F52" s="55"/>
      <c r="G52" s="55"/>
      <c r="H52" s="55"/>
      <c r="I52" s="55"/>
      <c r="J52" s="55"/>
      <c r="K52" s="55"/>
      <c r="L52" s="55"/>
      <c r="M52" s="55"/>
      <c r="N52" s="119"/>
      <c r="O52" s="119"/>
      <c r="P52" s="124"/>
      <c r="Q52" s="124"/>
      <c r="R52" s="124"/>
      <c r="S52" s="124"/>
      <c r="T52" s="124"/>
      <c r="U52" s="124"/>
      <c r="V52" s="26"/>
      <c r="W52" s="26"/>
      <c r="X52" s="26"/>
      <c r="Y52" s="26"/>
      <c r="Z52" s="100"/>
      <c r="AL52" s="122"/>
      <c r="AM52" s="88"/>
      <c r="AN52" s="88"/>
      <c r="AO52" s="88"/>
      <c r="AP52" s="88"/>
      <c r="AQ52" s="88"/>
      <c r="AR52" s="88"/>
    </row>
    <row r="53" spans="1:44" ht="16.8" thickBot="1" x14ac:dyDescent="0.35">
      <c r="A53" s="99"/>
      <c r="B53" s="26"/>
      <c r="C53" s="135" t="s">
        <v>146</v>
      </c>
      <c r="D53" s="136">
        <v>1.47</v>
      </c>
      <c r="E53" s="26"/>
      <c r="F53" s="26"/>
      <c r="G53" s="26"/>
      <c r="H53" s="26"/>
      <c r="I53" s="26"/>
      <c r="J53" s="26"/>
      <c r="K53" s="26"/>
      <c r="L53" s="26"/>
      <c r="M53" s="26"/>
      <c r="N53" s="26"/>
      <c r="O53" s="26"/>
      <c r="P53" s="26"/>
      <c r="Q53" s="26"/>
      <c r="R53" s="26"/>
      <c r="S53" s="26"/>
      <c r="T53" s="26"/>
      <c r="U53" s="26"/>
      <c r="V53" s="26"/>
      <c r="W53" s="26"/>
      <c r="X53" s="26"/>
      <c r="Y53" s="26"/>
      <c r="Z53" s="100"/>
      <c r="AB53" s="122"/>
    </row>
    <row r="54" spans="1:44" ht="15" thickBot="1" x14ac:dyDescent="0.35">
      <c r="A54" s="99"/>
      <c r="B54" s="26"/>
      <c r="C54" s="26"/>
      <c r="D54" s="26"/>
      <c r="E54" s="1"/>
      <c r="F54" s="1"/>
      <c r="G54" s="1"/>
      <c r="H54" s="137"/>
      <c r="I54" s="137"/>
      <c r="J54" s="137"/>
      <c r="K54" s="137"/>
      <c r="L54" s="137"/>
      <c r="M54" s="1"/>
      <c r="N54" s="26"/>
      <c r="O54" s="26"/>
      <c r="P54" s="26"/>
      <c r="Q54" s="26"/>
      <c r="R54" s="26"/>
      <c r="S54" s="26"/>
      <c r="T54" s="26"/>
      <c r="U54" s="26"/>
      <c r="V54" s="26"/>
      <c r="W54" s="26"/>
      <c r="X54" s="26"/>
      <c r="Y54" s="26"/>
      <c r="Z54" s="100"/>
    </row>
    <row r="55" spans="1:44" ht="15" customHeight="1" x14ac:dyDescent="0.3">
      <c r="A55" s="99"/>
      <c r="B55" s="26"/>
      <c r="C55" s="343" t="s">
        <v>147</v>
      </c>
      <c r="D55" s="332" t="s">
        <v>13</v>
      </c>
      <c r="E55" s="332"/>
      <c r="F55" s="332"/>
      <c r="G55" s="333"/>
      <c r="H55" s="334" t="s">
        <v>14</v>
      </c>
      <c r="I55" s="335"/>
      <c r="J55" s="335"/>
      <c r="K55" s="335"/>
      <c r="L55" s="335"/>
      <c r="M55" s="336"/>
      <c r="N55" s="323" t="s">
        <v>148</v>
      </c>
      <c r="O55" s="329"/>
      <c r="P55" s="331" t="s">
        <v>13</v>
      </c>
      <c r="Q55" s="332"/>
      <c r="R55" s="332"/>
      <c r="S55" s="333"/>
      <c r="T55" s="334" t="s">
        <v>14</v>
      </c>
      <c r="U55" s="335"/>
      <c r="V55" s="335"/>
      <c r="W55" s="335"/>
      <c r="X55" s="335"/>
      <c r="Y55" s="336"/>
      <c r="Z55" s="100"/>
    </row>
    <row r="56" spans="1:44" ht="18" customHeight="1" x14ac:dyDescent="0.3">
      <c r="A56" s="99"/>
      <c r="B56" s="26"/>
      <c r="C56" s="344"/>
      <c r="D56" s="109" t="s">
        <v>0</v>
      </c>
      <c r="E56" s="109" t="s">
        <v>1</v>
      </c>
      <c r="F56" s="109" t="s">
        <v>2</v>
      </c>
      <c r="G56" s="110" t="s">
        <v>3</v>
      </c>
      <c r="H56" s="111" t="s">
        <v>0</v>
      </c>
      <c r="I56" s="111" t="s">
        <v>1</v>
      </c>
      <c r="J56" s="111" t="s">
        <v>2</v>
      </c>
      <c r="K56" s="111" t="s">
        <v>3</v>
      </c>
      <c r="L56" s="111" t="s">
        <v>4</v>
      </c>
      <c r="M56" s="112" t="s">
        <v>303</v>
      </c>
      <c r="N56" s="325"/>
      <c r="O56" s="330"/>
      <c r="P56" s="291" t="s">
        <v>0</v>
      </c>
      <c r="Q56" s="109" t="s">
        <v>1</v>
      </c>
      <c r="R56" s="109" t="s">
        <v>2</v>
      </c>
      <c r="S56" s="110" t="s">
        <v>3</v>
      </c>
      <c r="T56" s="111" t="s">
        <v>0</v>
      </c>
      <c r="U56" s="111" t="s">
        <v>1</v>
      </c>
      <c r="V56" s="111" t="s">
        <v>2</v>
      </c>
      <c r="W56" s="111" t="s">
        <v>3</v>
      </c>
      <c r="X56" s="111" t="s">
        <v>4</v>
      </c>
      <c r="Y56" s="112" t="s">
        <v>303</v>
      </c>
      <c r="Z56" s="100"/>
    </row>
    <row r="57" spans="1:44" ht="14.55" customHeight="1" x14ac:dyDescent="0.3">
      <c r="A57" s="113"/>
      <c r="B57" s="327" t="s">
        <v>139</v>
      </c>
      <c r="C57" s="138" t="s">
        <v>66</v>
      </c>
      <c r="D57" s="139">
        <f>'Bite rates'!C164</f>
        <v>6.0710080535616271</v>
      </c>
      <c r="E57" s="7">
        <f>'Bite rates'!D164</f>
        <v>5.3925003228137314</v>
      </c>
      <c r="F57" s="7">
        <f>'Bite rates'!E164</f>
        <v>5.4509310331026484</v>
      </c>
      <c r="G57" s="7">
        <f>'Bite rates'!F164</f>
        <v>5.6939566515435551</v>
      </c>
      <c r="H57" s="7">
        <f>'Bite rates'!G164</f>
        <v>5.0419287470924399</v>
      </c>
      <c r="I57" s="7">
        <f>'Bite rates'!H164</f>
        <v>4.9251528211384299</v>
      </c>
      <c r="J57" s="7">
        <f>'Bite rates'!I164</f>
        <v>5.5438375032596374</v>
      </c>
      <c r="K57" s="7">
        <f>'Bite rates'!J164</f>
        <v>5.0414984287278086</v>
      </c>
      <c r="L57" s="7">
        <f>'Bite rates'!K164</f>
        <v>5.4304660568909497</v>
      </c>
      <c r="M57" s="7">
        <f>'Bite rates'!L164</f>
        <v>5.4091900597016709</v>
      </c>
      <c r="N57" s="138"/>
      <c r="O57" s="140"/>
      <c r="P57" s="292">
        <f t="shared" ref="P57:Y58" si="21">D57*D34</f>
        <v>2.5228344956638433</v>
      </c>
      <c r="Q57" s="165">
        <f t="shared" si="21"/>
        <v>3.3527829057323428</v>
      </c>
      <c r="R57" s="165">
        <f t="shared" si="21"/>
        <v>4.1294413546116626</v>
      </c>
      <c r="S57" s="165">
        <f t="shared" si="21"/>
        <v>4.8911617971641919</v>
      </c>
      <c r="T57" s="165">
        <f t="shared" si="21"/>
        <v>2.0951959963850948</v>
      </c>
      <c r="U57" s="165">
        <f t="shared" si="21"/>
        <v>3.0622099579617852</v>
      </c>
      <c r="V57" s="165">
        <f t="shared" si="21"/>
        <v>4.1998241603465747</v>
      </c>
      <c r="W57" s="165">
        <f t="shared" si="21"/>
        <v>4.3306941067723255</v>
      </c>
      <c r="X57" s="165">
        <f t="shared" si="21"/>
        <v>5.3659356513983116</v>
      </c>
      <c r="Y57" s="166">
        <f t="shared" si="21"/>
        <v>5.4091900597016709</v>
      </c>
      <c r="Z57" s="100"/>
    </row>
    <row r="58" spans="1:44" x14ac:dyDescent="0.3">
      <c r="A58" s="113"/>
      <c r="B58" s="327"/>
      <c r="C58" s="141" t="s">
        <v>54</v>
      </c>
      <c r="D58" s="142">
        <f>'Bite rates'!C165</f>
        <v>10.261122803290599</v>
      </c>
      <c r="E58" s="4">
        <f>'Bite rates'!D165</f>
        <v>9.2397849812415576</v>
      </c>
      <c r="F58" s="4">
        <f>'Bite rates'!E165</f>
        <v>8.6188854548711671</v>
      </c>
      <c r="G58" s="4">
        <f>'Bite rates'!F165</f>
        <v>8.0909868507014497</v>
      </c>
      <c r="H58" s="4">
        <f>'Bite rates'!G165</f>
        <v>10.182834588096172</v>
      </c>
      <c r="I58" s="4">
        <f>'Bite rates'!H165</f>
        <v>9.3755971706014645</v>
      </c>
      <c r="J58" s="4">
        <f>'Bite rates'!I165</f>
        <v>8.1006978057591308</v>
      </c>
      <c r="K58" s="4">
        <f>'Bite rates'!J165</f>
        <v>7.3746470551650871</v>
      </c>
      <c r="L58" s="4">
        <f>'Bite rates'!K165</f>
        <v>7.0073664274277245</v>
      </c>
      <c r="M58" s="4">
        <f>'Bite rates'!L165</f>
        <v>6.5517456358270572</v>
      </c>
      <c r="N58" s="141"/>
      <c r="O58" s="143"/>
      <c r="P58" s="293">
        <f t="shared" si="21"/>
        <v>4.2640553832237833</v>
      </c>
      <c r="Q58" s="25">
        <f t="shared" si="21"/>
        <v>5.7448291670355847</v>
      </c>
      <c r="R58" s="25">
        <f t="shared" si="21"/>
        <v>6.5293766903059849</v>
      </c>
      <c r="S58" s="25">
        <f t="shared" si="21"/>
        <v>6.9502330641700061</v>
      </c>
      <c r="T58" s="25">
        <f t="shared" si="21"/>
        <v>4.2315223659465984</v>
      </c>
      <c r="U58" s="25">
        <f t="shared" si="21"/>
        <v>5.8292702907476333</v>
      </c>
      <c r="V58" s="25">
        <f t="shared" si="21"/>
        <v>6.136815218752333</v>
      </c>
      <c r="W58" s="25">
        <f t="shared" si="21"/>
        <v>6.3348905078184305</v>
      </c>
      <c r="X58" s="25">
        <f t="shared" si="21"/>
        <v>6.9240976633363607</v>
      </c>
      <c r="Y58" s="168">
        <f t="shared" si="21"/>
        <v>6.5517456358270572</v>
      </c>
      <c r="Z58" s="100"/>
    </row>
    <row r="59" spans="1:44" ht="14.55" customHeight="1" x14ac:dyDescent="0.3">
      <c r="A59" s="26"/>
      <c r="B59" s="327"/>
      <c r="C59" s="141" t="s">
        <v>277</v>
      </c>
      <c r="D59" s="142">
        <f>'Bite rates'!C166</f>
        <v>17.908115433558979</v>
      </c>
      <c r="E59" s="4">
        <f>'Bite rates'!D166</f>
        <v>15.102009625774052</v>
      </c>
      <c r="F59" s="4">
        <f>'Bite rates'!E166</f>
        <v>15.919478431963023</v>
      </c>
      <c r="G59" s="31"/>
      <c r="H59" s="4">
        <f>'Bite rates'!G166</f>
        <v>15.235861841804081</v>
      </c>
      <c r="I59" s="4">
        <f>'Bite rates'!H166</f>
        <v>13.313577283055025</v>
      </c>
      <c r="J59" s="4">
        <f>'Bite rates'!I166</f>
        <v>15.919478431963023</v>
      </c>
      <c r="K59" s="31"/>
      <c r="L59" s="31"/>
      <c r="M59" s="116"/>
      <c r="N59" s="141"/>
      <c r="O59" s="143"/>
      <c r="P59" s="293">
        <f t="shared" ref="P59:P72" si="22">D59*D36</f>
        <v>6.3242541103103056</v>
      </c>
      <c r="Q59" s="25">
        <f t="shared" ref="Q59:Q72" si="23">E59*E36</f>
        <v>8.9185184247184868</v>
      </c>
      <c r="R59" s="25">
        <f t="shared" ref="R59:R72" si="24">F59*F36</f>
        <v>12.540614420344756</v>
      </c>
      <c r="S59" s="31"/>
      <c r="T59" s="25">
        <f t="shared" ref="T59:T72" si="25">H59*H36</f>
        <v>5.3805472850919713</v>
      </c>
      <c r="U59" s="25">
        <f t="shared" ref="U59:U72" si="26">I59*I36</f>
        <v>7.862356549898827</v>
      </c>
      <c r="V59" s="25">
        <f t="shared" ref="V59:V72" si="27">J59*J36</f>
        <v>12.540614420344756</v>
      </c>
      <c r="W59" s="31"/>
      <c r="X59" s="31"/>
      <c r="Y59" s="116"/>
      <c r="Z59" s="100"/>
    </row>
    <row r="60" spans="1:44" x14ac:dyDescent="0.3">
      <c r="A60" s="328" t="s">
        <v>140</v>
      </c>
      <c r="B60" s="327"/>
      <c r="C60" s="141" t="s">
        <v>239</v>
      </c>
      <c r="D60" s="142">
        <f>'Bite rates'!C167</f>
        <v>27.222876603750002</v>
      </c>
      <c r="E60" s="4">
        <f>'Bite rates'!D167</f>
        <v>14.506516196433331</v>
      </c>
      <c r="F60" s="4">
        <f>'Bite rates'!E167</f>
        <v>21.67</v>
      </c>
      <c r="G60" s="31"/>
      <c r="H60" s="4">
        <f>'Bite rates'!G167</f>
        <v>26.360813299166669</v>
      </c>
      <c r="I60" s="4">
        <f>'Bite rates'!H167</f>
        <v>14.143704061968748</v>
      </c>
      <c r="J60" s="4">
        <f>'Bite rates'!I167</f>
        <v>21.67</v>
      </c>
      <c r="K60" s="31"/>
      <c r="L60" s="31"/>
      <c r="M60" s="116"/>
      <c r="N60" s="141"/>
      <c r="O60" s="143"/>
      <c r="P60" s="293">
        <f t="shared" si="22"/>
        <v>9.6137636533829856</v>
      </c>
      <c r="Q60" s="25">
        <f t="shared" si="23"/>
        <v>8.5668487295601654</v>
      </c>
      <c r="R60" s="25">
        <f t="shared" si="24"/>
        <v>17.070604143867097</v>
      </c>
      <c r="S60" s="31"/>
      <c r="T60" s="25">
        <f t="shared" si="25"/>
        <v>9.3093258459773995</v>
      </c>
      <c r="U60" s="25">
        <f t="shared" si="26"/>
        <v>8.3525893835449505</v>
      </c>
      <c r="V60" s="25">
        <f t="shared" si="27"/>
        <v>17.070604143867097</v>
      </c>
      <c r="W60" s="31"/>
      <c r="X60" s="31"/>
      <c r="Y60" s="116"/>
      <c r="Z60" s="100"/>
    </row>
    <row r="61" spans="1:44" x14ac:dyDescent="0.3">
      <c r="A61" s="328"/>
      <c r="B61" s="327"/>
      <c r="C61" s="141" t="s">
        <v>281</v>
      </c>
      <c r="D61" s="142">
        <f>'Bite rates'!C168</f>
        <v>16.818333333333332</v>
      </c>
      <c r="E61" s="4">
        <f>'Bite rates'!D168</f>
        <v>16.818333333333332</v>
      </c>
      <c r="F61" s="4">
        <f>'Bite rates'!E168</f>
        <v>15.528333333333334</v>
      </c>
      <c r="G61" s="4">
        <f>'Bite rates'!F168</f>
        <v>15.023333333333333</v>
      </c>
      <c r="H61" s="4">
        <f>'Bite rates'!G168</f>
        <v>16.818333333333332</v>
      </c>
      <c r="I61" s="4">
        <f>'Bite rates'!H168</f>
        <v>16.818333333333332</v>
      </c>
      <c r="J61" s="4">
        <f>'Bite rates'!I168</f>
        <v>15.528333333333334</v>
      </c>
      <c r="K61" s="4">
        <f>'Bite rates'!J168</f>
        <v>15.023333333333333</v>
      </c>
      <c r="L61" s="4">
        <f>'Bite rates'!K168</f>
        <v>7.0073664274277245</v>
      </c>
      <c r="M61" s="116"/>
      <c r="N61" s="141"/>
      <c r="O61" s="143"/>
      <c r="P61" s="293">
        <f t="shared" si="22"/>
        <v>3.5147478191631549</v>
      </c>
      <c r="Q61" s="25">
        <f t="shared" si="23"/>
        <v>7.7309204484762812</v>
      </c>
      <c r="R61" s="25">
        <f t="shared" si="24"/>
        <v>9.7020543753483555</v>
      </c>
      <c r="S61" s="25">
        <f t="shared" ref="S61:S67" si="28">G61*G38</f>
        <v>11.239408478438614</v>
      </c>
      <c r="T61" s="25">
        <f t="shared" si="25"/>
        <v>3.5147478191631549</v>
      </c>
      <c r="U61" s="25">
        <f t="shared" si="26"/>
        <v>7.7309204484762812</v>
      </c>
      <c r="V61" s="25">
        <f t="shared" si="27"/>
        <v>9.7020543753483555</v>
      </c>
      <c r="W61" s="25">
        <f t="shared" ref="W61:X66" si="29">K61*K38</f>
        <v>11.239408478438614</v>
      </c>
      <c r="X61" s="25">
        <f t="shared" si="29"/>
        <v>5.9325053638390051</v>
      </c>
      <c r="Y61" s="116"/>
      <c r="Z61" s="100"/>
    </row>
    <row r="62" spans="1:44" x14ac:dyDescent="0.3">
      <c r="A62" s="328"/>
      <c r="B62" s="117"/>
      <c r="C62" s="138" t="s">
        <v>20</v>
      </c>
      <c r="D62" s="139">
        <f>'Bite rates'!C169</f>
        <v>18.2233111253129</v>
      </c>
      <c r="E62" s="7">
        <f>'Bite rates'!D169</f>
        <v>13.898077453930677</v>
      </c>
      <c r="F62" s="7">
        <f>'Bite rates'!E169</f>
        <v>12.77371266577873</v>
      </c>
      <c r="G62" s="7">
        <f>'Bite rates'!F169</f>
        <v>12.031062514026845</v>
      </c>
      <c r="H62" s="7">
        <f>'Bite rates'!G169</f>
        <v>17.809208768307794</v>
      </c>
      <c r="I62" s="7">
        <f>'Bite rates'!H169</f>
        <v>14.040477465101432</v>
      </c>
      <c r="J62" s="7">
        <f>'Bite rates'!I169</f>
        <v>13.438335499403729</v>
      </c>
      <c r="K62" s="7">
        <f>'Bite rates'!J169</f>
        <v>11.281401740476841</v>
      </c>
      <c r="L62" s="7">
        <f>'Bite rates'!K169</f>
        <v>9.8060214936725849</v>
      </c>
      <c r="M62" s="7">
        <f>'Bite rates'!L169</f>
        <v>9.6752167961757163</v>
      </c>
      <c r="N62" s="141"/>
      <c r="O62" s="143"/>
      <c r="P62" s="292">
        <f t="shared" si="22"/>
        <v>4.4779724672972403</v>
      </c>
      <c r="Q62" s="165">
        <f t="shared" si="23"/>
        <v>5.6240652093542876</v>
      </c>
      <c r="R62" s="165">
        <f t="shared" si="24"/>
        <v>7.663098960280716</v>
      </c>
      <c r="S62" s="165">
        <f t="shared" si="28"/>
        <v>9.1507209591020615</v>
      </c>
      <c r="T62" s="165">
        <f t="shared" si="25"/>
        <v>4.3762160444078786</v>
      </c>
      <c r="U62" s="165">
        <f t="shared" si="26"/>
        <v>5.6816895067646174</v>
      </c>
      <c r="V62" s="165">
        <f t="shared" si="27"/>
        <v>8.0618139367789023</v>
      </c>
      <c r="W62" s="165">
        <f t="shared" si="29"/>
        <v>8.5805355291167409</v>
      </c>
      <c r="X62" s="165">
        <f t="shared" si="29"/>
        <v>8.8324177867635338</v>
      </c>
      <c r="Y62" s="166">
        <f>M62*M39</f>
        <v>9.4449211358010565</v>
      </c>
      <c r="Z62" s="100"/>
    </row>
    <row r="63" spans="1:44" ht="14.55" customHeight="1" x14ac:dyDescent="0.3">
      <c r="A63" s="328"/>
      <c r="B63" s="26"/>
      <c r="C63" s="144" t="s">
        <v>32</v>
      </c>
      <c r="D63" s="145">
        <f>'Bite rates'!C170</f>
        <v>13.325185186666667</v>
      </c>
      <c r="E63" s="9">
        <f>'Bite rates'!D170</f>
        <v>15.142918968749999</v>
      </c>
      <c r="F63" s="9">
        <f>'Bite rates'!E170</f>
        <v>11.217021892333335</v>
      </c>
      <c r="G63" s="9">
        <f>'Bite rates'!F170</f>
        <v>10.798888888888889</v>
      </c>
      <c r="H63" s="9">
        <f>'Bite rates'!G170</f>
        <v>12.21</v>
      </c>
      <c r="I63" s="9">
        <f>'Bite rates'!H170</f>
        <v>15.646666666666667</v>
      </c>
      <c r="J63" s="9">
        <f>'Bite rates'!I170</f>
        <v>12.21</v>
      </c>
      <c r="K63" s="9">
        <f>'Bite rates'!J170</f>
        <v>10.92</v>
      </c>
      <c r="L63" s="9">
        <f>'Bite rates'!K170</f>
        <v>10.92</v>
      </c>
      <c r="M63" s="9">
        <f>'Bite rates'!L170</f>
        <v>10.92</v>
      </c>
      <c r="N63" s="141"/>
      <c r="O63" s="143"/>
      <c r="P63" s="294">
        <f t="shared" si="22"/>
        <v>3.2743672089671261</v>
      </c>
      <c r="Q63" s="170">
        <f t="shared" si="23"/>
        <v>6.1278089737607226</v>
      </c>
      <c r="R63" s="170">
        <f t="shared" si="24"/>
        <v>6.7292220397964746</v>
      </c>
      <c r="S63" s="170">
        <f t="shared" si="28"/>
        <v>8.2135404728684502</v>
      </c>
      <c r="T63" s="170">
        <f t="shared" si="25"/>
        <v>3.0003353095229839</v>
      </c>
      <c r="U63" s="170">
        <f t="shared" si="26"/>
        <v>6.3316580249360834</v>
      </c>
      <c r="V63" s="170">
        <f t="shared" si="27"/>
        <v>7.3249211684317634</v>
      </c>
      <c r="W63" s="170">
        <f t="shared" si="29"/>
        <v>8.3056565250901446</v>
      </c>
      <c r="X63" s="170">
        <f t="shared" si="29"/>
        <v>9.8357934758447083</v>
      </c>
      <c r="Y63" s="171">
        <f>M63*M40</f>
        <v>10.660075218543392</v>
      </c>
      <c r="Z63" s="100"/>
    </row>
    <row r="64" spans="1:44" x14ac:dyDescent="0.3">
      <c r="A64" s="328"/>
      <c r="B64" s="327" t="s">
        <v>141</v>
      </c>
      <c r="C64" s="138" t="s">
        <v>235</v>
      </c>
      <c r="D64" s="139">
        <f>'Bite rates'!C171</f>
        <v>12.857187610874998</v>
      </c>
      <c r="E64" s="7">
        <f>'Bite rates'!D171</f>
        <v>8.4797801664999994</v>
      </c>
      <c r="F64" s="7">
        <f>'Bite rates'!E171</f>
        <v>5.5623628052500003</v>
      </c>
      <c r="G64" s="7">
        <f>'Bite rates'!F171</f>
        <v>2.904825046</v>
      </c>
      <c r="H64" s="7">
        <f>'Bite rates'!G171</f>
        <v>12.857187610874998</v>
      </c>
      <c r="I64" s="7">
        <f>'Bite rates'!H171</f>
        <v>7.5064468331666667</v>
      </c>
      <c r="J64" s="7">
        <f>'Bite rates'!I171</f>
        <v>5.5623628052500003</v>
      </c>
      <c r="K64" s="7">
        <f>'Bite rates'!J171</f>
        <v>2.904825046</v>
      </c>
      <c r="L64" s="7">
        <f>'Bite rates'!K171</f>
        <v>2.904825046</v>
      </c>
      <c r="M64" s="7">
        <f>'Bite rates'!L171</f>
        <v>2.904825046</v>
      </c>
      <c r="N64" s="141"/>
      <c r="O64" s="143"/>
      <c r="P64" s="292">
        <f t="shared" si="22"/>
        <v>3.6556453198281527</v>
      </c>
      <c r="Q64" s="165">
        <f t="shared" si="23"/>
        <v>3.9106610119555478</v>
      </c>
      <c r="R64" s="165">
        <f t="shared" si="24"/>
        <v>3.213162835437545</v>
      </c>
      <c r="S64" s="165">
        <f t="shared" si="28"/>
        <v>1.9307400531771166</v>
      </c>
      <c r="T64" s="165">
        <f t="shared" si="25"/>
        <v>3.6556453198281527</v>
      </c>
      <c r="U64" s="165">
        <f t="shared" si="26"/>
        <v>3.4617841963346936</v>
      </c>
      <c r="V64" s="165">
        <f t="shared" si="27"/>
        <v>3.213162835437545</v>
      </c>
      <c r="W64" s="165">
        <f t="shared" si="29"/>
        <v>1.9307400531771166</v>
      </c>
      <c r="X64" s="165">
        <f t="shared" si="29"/>
        <v>2.1325446245426889</v>
      </c>
      <c r="Y64" s="166">
        <f>M64*M41</f>
        <v>2.3005426367720161</v>
      </c>
      <c r="Z64" s="100"/>
      <c r="AA64" s="4"/>
    </row>
    <row r="65" spans="1:26" x14ac:dyDescent="0.3">
      <c r="A65" s="328"/>
      <c r="B65" s="327"/>
      <c r="C65" s="141" t="s">
        <v>30</v>
      </c>
      <c r="D65" s="142">
        <f>'Bite rates'!C172</f>
        <v>20.191257167426308</v>
      </c>
      <c r="E65" s="4">
        <f>'Bite rates'!D172</f>
        <v>17.790349402401603</v>
      </c>
      <c r="F65" s="4">
        <f>'Bite rates'!E172</f>
        <v>14.887248540717462</v>
      </c>
      <c r="G65" s="4">
        <f>'Bite rates'!F172</f>
        <v>13.947883576059192</v>
      </c>
      <c r="H65" s="4">
        <f>'Bite rates'!G172</f>
        <v>18.217593271612209</v>
      </c>
      <c r="I65" s="4">
        <f>'Bite rates'!H172</f>
        <v>15.432849164739565</v>
      </c>
      <c r="J65" s="4">
        <f>'Bite rates'!I172</f>
        <v>16.240123357240634</v>
      </c>
      <c r="K65" s="4">
        <f>'Bite rates'!J172</f>
        <v>13.947883576059192</v>
      </c>
      <c r="L65" s="4">
        <f>'Bite rates'!K172</f>
        <v>13.809648396607434</v>
      </c>
      <c r="M65" s="31"/>
      <c r="N65" s="141"/>
      <c r="O65" s="143"/>
      <c r="P65" s="293">
        <f t="shared" si="22"/>
        <v>5.7409191651770053</v>
      </c>
      <c r="Q65" s="25">
        <f t="shared" si="23"/>
        <v>8.2044610156154842</v>
      </c>
      <c r="R65" s="25">
        <f t="shared" si="24"/>
        <v>8.5997903063436052</v>
      </c>
      <c r="S65" s="25">
        <f t="shared" si="28"/>
        <v>9.2706917115134093</v>
      </c>
      <c r="T65" s="25">
        <f t="shared" si="25"/>
        <v>5.1797532708920118</v>
      </c>
      <c r="U65" s="25">
        <f t="shared" si="26"/>
        <v>7.1172412900944471</v>
      </c>
      <c r="V65" s="25">
        <f t="shared" si="27"/>
        <v>9.3812940006637149</v>
      </c>
      <c r="W65" s="25">
        <f t="shared" si="29"/>
        <v>9.2706917115134093</v>
      </c>
      <c r="X65" s="25">
        <f t="shared" si="29"/>
        <v>10.138197994251854</v>
      </c>
      <c r="Y65" s="116"/>
      <c r="Z65" s="100"/>
    </row>
    <row r="66" spans="1:26" x14ac:dyDescent="0.3">
      <c r="A66" s="113"/>
      <c r="B66" s="327"/>
      <c r="C66" s="141" t="s">
        <v>236</v>
      </c>
      <c r="D66" s="142">
        <f>'Bite rates'!C173</f>
        <v>26.068576813750003</v>
      </c>
      <c r="E66" s="4">
        <f>'Bite rates'!D173</f>
        <v>33.512391895999997</v>
      </c>
      <c r="F66" s="4">
        <f>'Bite rates'!E173</f>
        <v>27.008670952500001</v>
      </c>
      <c r="G66" s="4">
        <f>'Bite rates'!F173</f>
        <v>27.008670952500001</v>
      </c>
      <c r="H66" s="4">
        <f>'Bite rates'!G173</f>
        <v>35.3974563875</v>
      </c>
      <c r="I66" s="4">
        <f>'Bite rates'!H173</f>
        <v>30.659562019000003</v>
      </c>
      <c r="J66" s="4">
        <f>'Bite rates'!I173</f>
        <v>27.253315373333333</v>
      </c>
      <c r="K66" s="4">
        <f>'Bite rates'!J173</f>
        <v>25.876657686666668</v>
      </c>
      <c r="L66" s="4">
        <f>'Bite rates'!K173</f>
        <v>25.876657686666668</v>
      </c>
      <c r="M66" s="4">
        <f>'Bite rates'!L173</f>
        <v>25.876657686666668</v>
      </c>
      <c r="N66" s="141"/>
      <c r="O66" s="143"/>
      <c r="P66" s="293">
        <f t="shared" si="22"/>
        <v>7.4119997084868245</v>
      </c>
      <c r="Q66" s="25">
        <f t="shared" si="23"/>
        <v>15.455070984364328</v>
      </c>
      <c r="R66" s="25">
        <f t="shared" si="24"/>
        <v>15.601869345384078</v>
      </c>
      <c r="S66" s="25">
        <f t="shared" si="28"/>
        <v>17.951760248996798</v>
      </c>
      <c r="T66" s="25">
        <f t="shared" si="25"/>
        <v>10.064451860944661</v>
      </c>
      <c r="U66" s="25">
        <f t="shared" si="26"/>
        <v>14.139417706252212</v>
      </c>
      <c r="V66" s="25">
        <f t="shared" si="27"/>
        <v>15.743191008217158</v>
      </c>
      <c r="W66" s="25">
        <f t="shared" si="29"/>
        <v>17.199348892560067</v>
      </c>
      <c r="X66" s="25">
        <f t="shared" si="29"/>
        <v>18.997057095338835</v>
      </c>
      <c r="Y66" s="168">
        <f>M66*M43</f>
        <v>20.493610927551536</v>
      </c>
      <c r="Z66" s="100"/>
    </row>
    <row r="67" spans="1:26" x14ac:dyDescent="0.3">
      <c r="A67" s="113"/>
      <c r="B67" s="327"/>
      <c r="C67" s="141" t="s">
        <v>278</v>
      </c>
      <c r="D67" s="142">
        <f>'Bite rates'!C174</f>
        <v>25.507989870791977</v>
      </c>
      <c r="E67" s="4">
        <f>'Bite rates'!D174</f>
        <v>23.129801327957306</v>
      </c>
      <c r="F67" s="4">
        <f>'Bite rates'!E174</f>
        <v>23.602806796726334</v>
      </c>
      <c r="G67" s="4">
        <f>'Bite rates'!F174</f>
        <v>17.221130304172995</v>
      </c>
      <c r="H67" s="4">
        <f>'Bite rates'!G174</f>
        <v>21.518625943344059</v>
      </c>
      <c r="I67" s="4">
        <f>'Bite rates'!H174</f>
        <v>19.642353488561703</v>
      </c>
      <c r="J67" s="4">
        <f>'Bite rates'!I174</f>
        <v>20.718739401393002</v>
      </c>
      <c r="K67" s="4">
        <f>'Bite rates'!J174</f>
        <v>13.871130304172993</v>
      </c>
      <c r="L67" s="31"/>
      <c r="M67" s="116"/>
      <c r="N67" s="141"/>
      <c r="O67" s="143"/>
      <c r="P67" s="293">
        <f t="shared" si="22"/>
        <v>11.885432202924852</v>
      </c>
      <c r="Q67" s="25">
        <f t="shared" si="23"/>
        <v>12.533114777078847</v>
      </c>
      <c r="R67" s="25">
        <f t="shared" si="24"/>
        <v>13.999645197423808</v>
      </c>
      <c r="S67" s="25">
        <f t="shared" si="28"/>
        <v>10.886287582280493</v>
      </c>
      <c r="T67" s="25">
        <f t="shared" si="25"/>
        <v>10.026590532818602</v>
      </c>
      <c r="U67" s="25">
        <f t="shared" si="26"/>
        <v>10.643406195907872</v>
      </c>
      <c r="V67" s="25">
        <f t="shared" si="27"/>
        <v>12.289004568626858</v>
      </c>
      <c r="W67" s="25">
        <f>K67*K44</f>
        <v>8.7685947969351243</v>
      </c>
      <c r="X67" s="31"/>
      <c r="Y67" s="116"/>
      <c r="Z67" s="100"/>
    </row>
    <row r="68" spans="1:26" x14ac:dyDescent="0.3">
      <c r="A68" s="113"/>
      <c r="B68" s="327"/>
      <c r="C68" s="141" t="s">
        <v>143</v>
      </c>
      <c r="D68" s="142">
        <f>'Bite rates'!C175</f>
        <v>21.195</v>
      </c>
      <c r="E68" s="4">
        <f>'Bite rates'!D175</f>
        <v>20.114999999999998</v>
      </c>
      <c r="F68" s="4">
        <f>'Bite rates'!E175</f>
        <v>12.94</v>
      </c>
      <c r="G68" s="31"/>
      <c r="H68" s="4">
        <f>'Bite rates'!G175</f>
        <v>21.195</v>
      </c>
      <c r="I68" s="4">
        <f>'Bite rates'!H175</f>
        <v>20.114999999999998</v>
      </c>
      <c r="J68" s="4">
        <f>'Bite rates'!I175</f>
        <v>12.94</v>
      </c>
      <c r="K68" s="31"/>
      <c r="L68" s="31"/>
      <c r="M68" s="116"/>
      <c r="N68" s="141"/>
      <c r="O68" s="143"/>
      <c r="P68" s="293">
        <f t="shared" si="22"/>
        <v>1.4164282217640203</v>
      </c>
      <c r="Q68" s="25">
        <f t="shared" si="23"/>
        <v>6.5831052503491865</v>
      </c>
      <c r="R68" s="25">
        <f t="shared" si="24"/>
        <v>12.058776030318608</v>
      </c>
      <c r="S68" s="31"/>
      <c r="T68" s="25">
        <f t="shared" si="25"/>
        <v>1.4164282217640203</v>
      </c>
      <c r="U68" s="25">
        <f t="shared" si="26"/>
        <v>6.5831052503491865</v>
      </c>
      <c r="V68" s="25">
        <f t="shared" si="27"/>
        <v>12.058776030318608</v>
      </c>
      <c r="W68" s="31"/>
      <c r="X68" s="31"/>
      <c r="Y68" s="116"/>
      <c r="Z68" s="100"/>
    </row>
    <row r="69" spans="1:26" x14ac:dyDescent="0.3">
      <c r="A69" s="113"/>
      <c r="B69" s="327"/>
      <c r="C69" s="141" t="s">
        <v>279</v>
      </c>
      <c r="D69" s="142">
        <f>'Bite rates'!C176</f>
        <v>24.519538501972182</v>
      </c>
      <c r="E69" s="4">
        <f>'Bite rates'!D176</f>
        <v>18.829647755193541</v>
      </c>
      <c r="F69" s="4">
        <f>'Bite rates'!E176</f>
        <v>16.706161928134872</v>
      </c>
      <c r="G69" s="4">
        <f>'Bite rates'!F176</f>
        <v>15.742733760754003</v>
      </c>
      <c r="H69" s="4">
        <f>'Bite rates'!G176</f>
        <v>24.624620432820667</v>
      </c>
      <c r="I69" s="4">
        <f>'Bite rates'!H176</f>
        <v>18.863757011077379</v>
      </c>
      <c r="J69" s="4">
        <f>'Bite rates'!I176</f>
        <v>16.37413460893487</v>
      </c>
      <c r="K69" s="4">
        <f>'Bite rates'!J176</f>
        <v>15.410706441554002</v>
      </c>
      <c r="L69" s="31"/>
      <c r="M69" s="116"/>
      <c r="N69" s="141"/>
      <c r="O69" s="143"/>
      <c r="P69" s="293">
        <f t="shared" si="22"/>
        <v>6.2103840966658597</v>
      </c>
      <c r="Q69" s="25">
        <f t="shared" si="23"/>
        <v>10.723185675394902</v>
      </c>
      <c r="R69" s="25">
        <f t="shared" si="24"/>
        <v>12.993392020033943</v>
      </c>
      <c r="S69" s="25">
        <f>G69*G46</f>
        <v>14.693072522325473</v>
      </c>
      <c r="T69" s="25">
        <f t="shared" si="25"/>
        <v>6.2369995711836967</v>
      </c>
      <c r="U69" s="25">
        <f t="shared" si="26"/>
        <v>10.742610355497645</v>
      </c>
      <c r="V69" s="25">
        <f t="shared" si="27"/>
        <v>12.735154302820089</v>
      </c>
      <c r="W69" s="25">
        <f>K69*K46</f>
        <v>14.383183429710515</v>
      </c>
      <c r="X69" s="31"/>
      <c r="Y69" s="116"/>
      <c r="Z69" s="100"/>
    </row>
    <row r="70" spans="1:26" x14ac:dyDescent="0.3">
      <c r="A70" s="113"/>
      <c r="B70" s="327"/>
      <c r="C70" s="141" t="s">
        <v>272</v>
      </c>
      <c r="D70" s="142">
        <f>'Bite rates'!C177</f>
        <v>17.592597309974529</v>
      </c>
      <c r="E70" s="4">
        <f>'Bite rates'!D177</f>
        <v>18.499819847114289</v>
      </c>
      <c r="F70" s="4">
        <f>'Bite rates'!E177</f>
        <v>19.293116815000001</v>
      </c>
      <c r="G70" s="31"/>
      <c r="H70" s="4">
        <f>'Bite rates'!G177</f>
        <v>16.3</v>
      </c>
      <c r="I70" s="4">
        <f>'Bite rates'!H177</f>
        <v>17.879172919249999</v>
      </c>
      <c r="J70" s="4">
        <f>'Bite rates'!I177</f>
        <v>19.293116815000001</v>
      </c>
      <c r="K70" s="31"/>
      <c r="L70" s="31"/>
      <c r="M70" s="116"/>
      <c r="N70" s="141"/>
      <c r="O70" s="143"/>
      <c r="P70" s="293">
        <f t="shared" si="22"/>
        <v>4.1484733860655929</v>
      </c>
      <c r="Q70" s="25">
        <f t="shared" si="23"/>
        <v>6.6020967623310653</v>
      </c>
      <c r="R70" s="25">
        <f t="shared" si="24"/>
        <v>8.4237122490968765</v>
      </c>
      <c r="S70" s="31"/>
      <c r="T70" s="25">
        <f t="shared" si="25"/>
        <v>3.8436687318779459</v>
      </c>
      <c r="U70" s="25">
        <f t="shared" si="26"/>
        <v>6.3806042771681506</v>
      </c>
      <c r="V70" s="25">
        <f t="shared" si="27"/>
        <v>8.4237122490968765</v>
      </c>
      <c r="W70" s="31"/>
      <c r="X70" s="31"/>
      <c r="Y70" s="116"/>
      <c r="Z70" s="100"/>
    </row>
    <row r="71" spans="1:26" x14ac:dyDescent="0.3">
      <c r="A71" s="113"/>
      <c r="B71" s="327"/>
      <c r="C71" s="141" t="s">
        <v>269</v>
      </c>
      <c r="D71" s="142">
        <f>'Bite rates'!C178</f>
        <v>28.726598188221608</v>
      </c>
      <c r="E71" s="4">
        <f>'Bite rates'!D178</f>
        <v>17.17186134861111</v>
      </c>
      <c r="F71" s="4">
        <f>'Bite rates'!E178</f>
        <v>20.249101435000004</v>
      </c>
      <c r="G71" s="31"/>
      <c r="H71" s="4">
        <f>'Bite rates'!G178</f>
        <v>27.142330333833332</v>
      </c>
      <c r="I71" s="4">
        <f>'Bite rates'!H178</f>
        <v>20.409054503384617</v>
      </c>
      <c r="J71" s="4">
        <f>'Bite rates'!I178</f>
        <v>20.249101435000004</v>
      </c>
      <c r="K71" s="31"/>
      <c r="L71" s="31"/>
      <c r="M71" s="116"/>
      <c r="N71" s="141"/>
      <c r="O71" s="143"/>
      <c r="P71" s="293">
        <f t="shared" si="22"/>
        <v>6.7739587257232543</v>
      </c>
      <c r="Q71" s="25">
        <f t="shared" si="23"/>
        <v>6.128183471502699</v>
      </c>
      <c r="R71" s="25">
        <f t="shared" si="24"/>
        <v>8.8411118549076519</v>
      </c>
      <c r="S71" s="31"/>
      <c r="T71" s="25">
        <f t="shared" si="25"/>
        <v>6.4003758536476978</v>
      </c>
      <c r="U71" s="25">
        <f t="shared" si="26"/>
        <v>7.2834521510246901</v>
      </c>
      <c r="V71" s="25">
        <f t="shared" si="27"/>
        <v>8.8411118549076519</v>
      </c>
      <c r="W71" s="31"/>
      <c r="X71" s="31"/>
      <c r="Y71" s="116"/>
      <c r="Z71" s="100"/>
    </row>
    <row r="72" spans="1:26" x14ac:dyDescent="0.3">
      <c r="A72" s="113"/>
      <c r="B72" s="327"/>
      <c r="C72" s="141" t="s">
        <v>280</v>
      </c>
      <c r="D72" s="142">
        <f>'Bite rates'!C179</f>
        <v>28.51740212478834</v>
      </c>
      <c r="E72" s="4">
        <f>'Bite rates'!D179</f>
        <v>26.226113776747503</v>
      </c>
      <c r="F72" s="4">
        <f>'Bite rates'!E179</f>
        <v>30.579243875294473</v>
      </c>
      <c r="G72" s="31"/>
      <c r="H72" s="4">
        <f>'Bite rates'!G179</f>
        <v>26.895311821576211</v>
      </c>
      <c r="I72" s="4">
        <f>'Bite rates'!H179</f>
        <v>22.800338282808148</v>
      </c>
      <c r="J72" s="4">
        <f>'Bite rates'!I179</f>
        <v>30.825723023529651</v>
      </c>
      <c r="K72" s="31"/>
      <c r="L72" s="31"/>
      <c r="M72" s="116"/>
      <c r="N72" s="141"/>
      <c r="O72" s="143"/>
      <c r="P72" s="293">
        <f t="shared" si="22"/>
        <v>6.7246286418060519</v>
      </c>
      <c r="Q72" s="25">
        <f t="shared" si="23"/>
        <v>9.3594068636835601</v>
      </c>
      <c r="R72" s="25">
        <f t="shared" si="24"/>
        <v>13.351432724450575</v>
      </c>
      <c r="S72" s="31"/>
      <c r="T72" s="25">
        <f t="shared" si="25"/>
        <v>6.3421269375889429</v>
      </c>
      <c r="U72" s="25">
        <f t="shared" si="26"/>
        <v>8.1368381314513876</v>
      </c>
      <c r="V72" s="25">
        <f t="shared" si="27"/>
        <v>13.459049831631587</v>
      </c>
      <c r="W72" s="31"/>
      <c r="X72" s="31"/>
      <c r="Y72" s="116"/>
      <c r="Z72" s="100"/>
    </row>
    <row r="73" spans="1:26" x14ac:dyDescent="0.3">
      <c r="A73" s="113"/>
      <c r="B73" s="327"/>
      <c r="C73" s="141" t="s">
        <v>31</v>
      </c>
      <c r="D73" s="142">
        <f>'Bite rates'!C180</f>
        <v>27.57667815005798</v>
      </c>
      <c r="E73" s="4">
        <f>'Bite rates'!D180</f>
        <v>24.681001535645056</v>
      </c>
      <c r="F73" s="31"/>
      <c r="G73" s="31"/>
      <c r="H73" s="4">
        <f>'Bite rates'!G180</f>
        <v>25.605340792171614</v>
      </c>
      <c r="I73" s="4">
        <f>'Bite rates'!H180</f>
        <v>23.530016056292613</v>
      </c>
      <c r="J73" s="31"/>
      <c r="K73" s="31"/>
      <c r="L73" s="31"/>
      <c r="M73" s="116"/>
      <c r="N73" s="141"/>
      <c r="O73" s="143"/>
      <c r="P73" s="293">
        <f>D73*D50</f>
        <v>1.4763542350362822</v>
      </c>
      <c r="Q73" s="25">
        <f>E73*E50</f>
        <v>3.4142065352039421</v>
      </c>
      <c r="R73" s="31"/>
      <c r="S73" s="31"/>
      <c r="T73" s="25">
        <f>H73*H50</f>
        <v>1.3708160610341806</v>
      </c>
      <c r="U73" s="25">
        <f>I73*I50</f>
        <v>3.2549868155400317</v>
      </c>
      <c r="V73" s="31"/>
      <c r="W73" s="31"/>
      <c r="X73" s="31"/>
      <c r="Y73" s="116"/>
      <c r="Z73" s="100"/>
    </row>
    <row r="74" spans="1:26" ht="15" thickBot="1" x14ac:dyDescent="0.35">
      <c r="A74" s="113"/>
      <c r="B74" s="327"/>
      <c r="C74" s="146" t="s">
        <v>271</v>
      </c>
      <c r="D74" s="147">
        <f>'Bite rates'!C181</f>
        <v>55.570311455888884</v>
      </c>
      <c r="E74" s="131">
        <f>'Bite rates'!D181</f>
        <v>45.78029021541667</v>
      </c>
      <c r="F74" s="132"/>
      <c r="G74" s="132"/>
      <c r="H74" s="131">
        <f>'Bite rates'!G181</f>
        <v>52.255834486388892</v>
      </c>
      <c r="I74" s="131">
        <f>'Bite rates'!H181</f>
        <v>49.631093291455024</v>
      </c>
      <c r="J74" s="132"/>
      <c r="K74" s="132"/>
      <c r="L74" s="132"/>
      <c r="M74" s="133"/>
      <c r="N74" s="146"/>
      <c r="O74" s="148"/>
      <c r="P74" s="295">
        <f>D74*D51</f>
        <v>2.9750307202977706</v>
      </c>
      <c r="Q74" s="173">
        <f>E74*E51</f>
        <v>6.3329426000509175</v>
      </c>
      <c r="R74" s="132"/>
      <c r="S74" s="132"/>
      <c r="T74" s="173">
        <f>H74*H51</f>
        <v>2.7975857762684533</v>
      </c>
      <c r="U74" s="173">
        <f>I74*I51</f>
        <v>6.8656372319525305</v>
      </c>
      <c r="V74" s="132"/>
      <c r="W74" s="132"/>
      <c r="X74" s="132"/>
      <c r="Y74" s="133"/>
      <c r="Z74" s="100"/>
    </row>
    <row r="75" spans="1:26" ht="18" customHeight="1" x14ac:dyDescent="0.3">
      <c r="A75" s="99"/>
      <c r="B75" s="26"/>
      <c r="C75" s="183"/>
      <c r="D75" s="150"/>
      <c r="E75" s="150"/>
      <c r="F75" s="151"/>
      <c r="G75" s="150"/>
      <c r="H75" s="150"/>
      <c r="I75" s="150"/>
      <c r="J75" s="150"/>
      <c r="K75" s="150"/>
      <c r="L75" s="150"/>
      <c r="M75" s="152"/>
      <c r="N75" s="323" t="s">
        <v>149</v>
      </c>
      <c r="O75" s="324"/>
      <c r="P75" s="150"/>
      <c r="Q75" s="150"/>
      <c r="R75" s="151"/>
      <c r="S75" s="150"/>
      <c r="T75" s="150"/>
      <c r="U75" s="150"/>
      <c r="V75" s="150"/>
      <c r="W75" s="150"/>
      <c r="X75" s="150"/>
      <c r="Y75" s="152"/>
      <c r="Z75" s="100"/>
    </row>
    <row r="76" spans="1:26" ht="17.25" customHeight="1" x14ac:dyDescent="0.3">
      <c r="A76" s="99"/>
      <c r="B76" s="26"/>
      <c r="C76" s="184" t="s">
        <v>150</v>
      </c>
      <c r="D76" s="153"/>
      <c r="E76" s="153"/>
      <c r="F76" s="154"/>
      <c r="G76" s="153"/>
      <c r="H76" s="153"/>
      <c r="I76" s="153"/>
      <c r="J76" s="153"/>
      <c r="K76" s="153"/>
      <c r="L76" s="153"/>
      <c r="M76" s="155"/>
      <c r="N76" s="325"/>
      <c r="O76" s="326"/>
      <c r="P76" s="153"/>
      <c r="Q76" s="153"/>
      <c r="R76" s="154"/>
      <c r="S76" s="153"/>
      <c r="T76" s="153"/>
      <c r="U76" s="153"/>
      <c r="V76" s="153"/>
      <c r="W76" s="153"/>
      <c r="X76" s="153"/>
      <c r="Y76" s="155"/>
      <c r="Z76" s="100"/>
    </row>
    <row r="77" spans="1:26" ht="14.55" customHeight="1" x14ac:dyDescent="0.3">
      <c r="A77" s="113"/>
      <c r="B77" s="327" t="s">
        <v>139</v>
      </c>
      <c r="C77" s="138" t="s">
        <v>66</v>
      </c>
      <c r="D77" s="241">
        <f>'Scar volume'!C88</f>
        <v>2.1647795992049652E-2</v>
      </c>
      <c r="E77" s="15">
        <f>'Scar volume'!D88</f>
        <v>7.0959797175794467E-2</v>
      </c>
      <c r="F77" s="15">
        <f>'Scar volume'!E88</f>
        <v>0.13255298842021734</v>
      </c>
      <c r="G77" s="15">
        <f>'Scar volume'!F88</f>
        <v>0.19407888456999309</v>
      </c>
      <c r="H77" s="15">
        <f>'Scar volume'!G88</f>
        <v>2.1647795992049652E-2</v>
      </c>
      <c r="I77" s="15">
        <f>'Scar volume'!H88</f>
        <v>7.0959797175794467E-2</v>
      </c>
      <c r="J77" s="15">
        <f>'Scar volume'!I88</f>
        <v>0.13255298842021734</v>
      </c>
      <c r="K77" s="15">
        <f>'Scar volume'!J88</f>
        <v>0.19407888456999309</v>
      </c>
      <c r="L77" s="15">
        <f>'Scar volume'!K88</f>
        <v>0.27672104781107287</v>
      </c>
      <c r="M77" s="15">
        <f>'Scar volume'!L88</f>
        <v>0.38190527451067857</v>
      </c>
      <c r="N77" s="138"/>
      <c r="O77" s="140"/>
      <c r="P77" s="164">
        <f t="shared" ref="P77:Y77" si="30">P57*D77*60*(12*($T$42/100))</f>
        <v>32.735515606411511</v>
      </c>
      <c r="Q77" s="165">
        <f t="shared" si="30"/>
        <v>142.60492930216358</v>
      </c>
      <c r="R77" s="165">
        <f t="shared" si="30"/>
        <v>328.09345336064791</v>
      </c>
      <c r="S77" s="165">
        <f t="shared" si="30"/>
        <v>568.99317277148657</v>
      </c>
      <c r="T77" s="165">
        <f t="shared" si="30"/>
        <v>27.186611470566376</v>
      </c>
      <c r="U77" s="165">
        <f t="shared" si="30"/>
        <v>130.24590223748385</v>
      </c>
      <c r="V77" s="165">
        <f t="shared" si="30"/>
        <v>333.68552643004512</v>
      </c>
      <c r="W77" s="165">
        <f t="shared" si="30"/>
        <v>503.79347122473558</v>
      </c>
      <c r="X77" s="165">
        <f t="shared" si="30"/>
        <v>890.02948116347454</v>
      </c>
      <c r="Y77" s="166">
        <f t="shared" si="30"/>
        <v>1238.2394498497017</v>
      </c>
      <c r="Z77" s="100"/>
    </row>
    <row r="78" spans="1:26" x14ac:dyDescent="0.3">
      <c r="A78" s="113"/>
      <c r="B78" s="327"/>
      <c r="C78" s="141" t="s">
        <v>54</v>
      </c>
      <c r="D78" s="259">
        <f>'Scar volume'!C89</f>
        <v>1.0926978366996092E-2</v>
      </c>
      <c r="E78" s="14">
        <f>'Scar volume'!D89</f>
        <v>3.90181039778539E-2</v>
      </c>
      <c r="F78" s="14">
        <f>'Scar volume'!E89</f>
        <v>0.13327468602699327</v>
      </c>
      <c r="G78" s="14">
        <f>'Scar volume'!F89</f>
        <v>0.20370091137427973</v>
      </c>
      <c r="H78" s="14">
        <f>'Scar volume'!G89</f>
        <v>1.0926978366996092E-2</v>
      </c>
      <c r="I78" s="14">
        <f>'Scar volume'!H89</f>
        <v>3.90181039778539E-2</v>
      </c>
      <c r="J78" s="14">
        <f>'Scar volume'!I89</f>
        <v>0.13327468602699327</v>
      </c>
      <c r="K78" s="14">
        <f>'Scar volume'!J89</f>
        <v>0.20370091137427973</v>
      </c>
      <c r="L78" s="14">
        <f>'Scar volume'!K89</f>
        <v>0.25134852210609482</v>
      </c>
      <c r="M78" s="14">
        <f>'Scar volume'!L89</f>
        <v>0.31194464017429546</v>
      </c>
      <c r="N78" s="141"/>
      <c r="O78" s="143"/>
      <c r="P78" s="167">
        <f t="shared" ref="P78:P83" si="31">P58*D78*60*(12*($T$42/100))</f>
        <v>27.927988612338808</v>
      </c>
      <c r="Q78" s="25">
        <f t="shared" ref="Q78:Y78" si="32">Q58*E78*60*(12*($T$42/100))</f>
        <v>134.35691365957672</v>
      </c>
      <c r="R78" s="25">
        <f t="shared" si="32"/>
        <v>521.59825663448771</v>
      </c>
      <c r="S78" s="25">
        <f t="shared" si="32"/>
        <v>848.61182437538889</v>
      </c>
      <c r="T78" s="25">
        <f t="shared" si="32"/>
        <v>27.714909359283865</v>
      </c>
      <c r="U78" s="25">
        <f t="shared" si="32"/>
        <v>136.33177634705183</v>
      </c>
      <c r="V78" s="25">
        <f t="shared" si="32"/>
        <v>490.23854361804388</v>
      </c>
      <c r="W78" s="25">
        <f t="shared" si="32"/>
        <v>773.47952815739347</v>
      </c>
      <c r="X78" s="25">
        <f t="shared" si="32"/>
        <v>1043.1728117299565</v>
      </c>
      <c r="Y78" s="168">
        <f t="shared" si="32"/>
        <v>1225.0428917680201</v>
      </c>
      <c r="Z78" s="100"/>
    </row>
    <row r="79" spans="1:26" ht="14.55" customHeight="1" x14ac:dyDescent="0.3">
      <c r="A79" s="26"/>
      <c r="B79" s="327"/>
      <c r="C79" s="141" t="s">
        <v>277</v>
      </c>
      <c r="D79" s="259">
        <f>'Scar volume'!C90</f>
        <v>1.6033332938471506E-3</v>
      </c>
      <c r="E79" s="14">
        <f>'Scar volume'!D90</f>
        <v>4.7609245979990432E-3</v>
      </c>
      <c r="F79" s="14">
        <f>'Scar volume'!E90</f>
        <v>7.712732034157236E-3</v>
      </c>
      <c r="G79" s="74"/>
      <c r="H79" s="14">
        <f>'Scar volume'!G90</f>
        <v>1.6033332938471506E-3</v>
      </c>
      <c r="I79" s="14">
        <f>'Scar volume'!H90</f>
        <v>4.7609245979990432E-3</v>
      </c>
      <c r="J79" s="14">
        <f>'Scar volume'!I90</f>
        <v>7.712732034157236E-3</v>
      </c>
      <c r="K79" s="74"/>
      <c r="L79" s="74"/>
      <c r="M79" s="74"/>
      <c r="N79" s="141"/>
      <c r="O79" s="143"/>
      <c r="P79" s="167">
        <f t="shared" ref="P79:R80" si="33">P59*D79*60*(12*($T$43/100))</f>
        <v>6.4027303570307152</v>
      </c>
      <c r="Q79" s="25">
        <f t="shared" si="33"/>
        <v>26.81119102694262</v>
      </c>
      <c r="R79" s="25">
        <f t="shared" si="33"/>
        <v>61.074391351656168</v>
      </c>
      <c r="S79" s="31"/>
      <c r="T79" s="25">
        <f t="shared" ref="T79:V80" si="34">T59*H79*60*(12*($T$43/100))</f>
        <v>5.4473132860892006</v>
      </c>
      <c r="U79" s="25">
        <f t="shared" si="34"/>
        <v>23.636116823734078</v>
      </c>
      <c r="V79" s="25">
        <f t="shared" si="34"/>
        <v>61.074391351656168</v>
      </c>
      <c r="W79" s="31"/>
      <c r="X79" s="31"/>
      <c r="Y79" s="116"/>
      <c r="Z79" s="100"/>
    </row>
    <row r="80" spans="1:26" x14ac:dyDescent="0.3">
      <c r="A80" s="328" t="s">
        <v>140</v>
      </c>
      <c r="B80" s="327"/>
      <c r="C80" s="141" t="s">
        <v>239</v>
      </c>
      <c r="D80" s="259">
        <f>'Scar volume'!C91</f>
        <v>1.6033332938471506E-3</v>
      </c>
      <c r="E80" s="14">
        <f>'Scar volume'!D91</f>
        <v>4.7609245979990432E-3</v>
      </c>
      <c r="F80" s="14">
        <f>'Scar volume'!E91</f>
        <v>7.712732034157236E-3</v>
      </c>
      <c r="G80" s="74"/>
      <c r="H80" s="14">
        <f>'Scar volume'!G91</f>
        <v>1.6033332938471506E-3</v>
      </c>
      <c r="I80" s="14">
        <f>'Scar volume'!H91</f>
        <v>4.7609245979990432E-3</v>
      </c>
      <c r="J80" s="14">
        <f>'Scar volume'!I91</f>
        <v>7.712732034157236E-3</v>
      </c>
      <c r="K80" s="74"/>
      <c r="L80" s="74"/>
      <c r="M80" s="74"/>
      <c r="N80" s="141"/>
      <c r="O80" s="143"/>
      <c r="P80" s="167">
        <f t="shared" si="33"/>
        <v>9.7330586841036233</v>
      </c>
      <c r="Q80" s="25">
        <f t="shared" si="33"/>
        <v>25.753988145672121</v>
      </c>
      <c r="R80" s="25">
        <f t="shared" si="33"/>
        <v>83.13601894978612</v>
      </c>
      <c r="S80" s="31"/>
      <c r="T80" s="25">
        <f t="shared" si="34"/>
        <v>9.4248431764240976</v>
      </c>
      <c r="U80" s="25">
        <f t="shared" si="34"/>
        <v>25.10987350894051</v>
      </c>
      <c r="V80" s="25">
        <f t="shared" si="34"/>
        <v>83.13601894978612</v>
      </c>
      <c r="W80" s="31"/>
      <c r="X80" s="31"/>
      <c r="Y80" s="116"/>
      <c r="Z80" s="100"/>
    </row>
    <row r="81" spans="1:31" x14ac:dyDescent="0.3">
      <c r="A81" s="328"/>
      <c r="B81" s="327"/>
      <c r="C81" s="141" t="s">
        <v>51</v>
      </c>
      <c r="D81" s="259">
        <f>'Scar volume'!C92</f>
        <v>3.6456368796933887E-3</v>
      </c>
      <c r="E81" s="14">
        <f>'Scar volume'!D92</f>
        <v>1.391997032598831E-2</v>
      </c>
      <c r="F81" s="14">
        <f>'Scar volume'!E92</f>
        <v>3.3643635679851208E-2</v>
      </c>
      <c r="G81" s="14">
        <f>'Scar volume'!F92</f>
        <v>6.503797875835296E-2</v>
      </c>
      <c r="H81" s="14">
        <f>'Scar volume'!G92</f>
        <v>3.6456368796933887E-3</v>
      </c>
      <c r="I81" s="14">
        <f>'Scar volume'!H92</f>
        <v>1.391997032598831E-2</v>
      </c>
      <c r="J81" s="14">
        <f>'Scar volume'!I92</f>
        <v>3.3643635679851208E-2</v>
      </c>
      <c r="K81" s="14">
        <f>'Scar volume'!J92</f>
        <v>6.503797875835296E-2</v>
      </c>
      <c r="L81" s="14">
        <f>'Scar volume'!K92</f>
        <v>0.11008914953947224</v>
      </c>
      <c r="M81" s="74"/>
      <c r="N81" s="141"/>
      <c r="O81" s="143"/>
      <c r="P81" s="167">
        <f t="shared" si="31"/>
        <v>7.6804084668544466</v>
      </c>
      <c r="Q81" s="25">
        <f t="shared" ref="Q81:X86" si="35">Q61*E81*60*(12*($T$42/100))</f>
        <v>64.50394143127842</v>
      </c>
      <c r="R81" s="25">
        <f t="shared" si="35"/>
        <v>195.65158222054566</v>
      </c>
      <c r="S81" s="25">
        <f t="shared" si="35"/>
        <v>438.15445288035943</v>
      </c>
      <c r="T81" s="25">
        <f t="shared" si="35"/>
        <v>7.6804084668544466</v>
      </c>
      <c r="U81" s="25">
        <f t="shared" si="35"/>
        <v>64.50394143127842</v>
      </c>
      <c r="V81" s="25">
        <f t="shared" si="35"/>
        <v>195.65158222054566</v>
      </c>
      <c r="W81" s="25">
        <f t="shared" si="35"/>
        <v>438.15445288035943</v>
      </c>
      <c r="X81" s="25">
        <f t="shared" si="35"/>
        <v>391.47081940395003</v>
      </c>
      <c r="Y81" s="116"/>
      <c r="Z81" s="100"/>
    </row>
    <row r="82" spans="1:31" x14ac:dyDescent="0.3">
      <c r="A82" s="328"/>
      <c r="B82" s="117"/>
      <c r="C82" s="138" t="s">
        <v>20</v>
      </c>
      <c r="D82" s="241">
        <f>'Scar volume'!C93</f>
        <v>1.8014065828911867E-3</v>
      </c>
      <c r="E82" s="15">
        <f>'Scar volume'!D93</f>
        <v>6.6553854171316233E-3</v>
      </c>
      <c r="F82" s="15">
        <f>'Scar volume'!E93</f>
        <v>1.6625881212776531E-2</v>
      </c>
      <c r="G82" s="15">
        <f>'Scar volume'!F93</f>
        <v>3.3725475637655114E-2</v>
      </c>
      <c r="H82" s="15">
        <f>'Scar volume'!G93</f>
        <v>1.8014065828911867E-3</v>
      </c>
      <c r="I82" s="15">
        <f>'Scar volume'!H93</f>
        <v>6.6553854171316233E-3</v>
      </c>
      <c r="J82" s="15">
        <f>'Scar volume'!I93</f>
        <v>1.6625881212776531E-2</v>
      </c>
      <c r="K82" s="15">
        <f>'Scar volume'!J93</f>
        <v>3.3725475637655114E-2</v>
      </c>
      <c r="L82" s="15">
        <f>'Scar volume'!K93</f>
        <v>6.0081913043177816E-2</v>
      </c>
      <c r="M82" s="15">
        <f>'Scar volume'!L93</f>
        <v>9.799620278575906E-2</v>
      </c>
      <c r="N82" s="141"/>
      <c r="O82" s="143"/>
      <c r="P82" s="164">
        <f t="shared" si="31"/>
        <v>4.8351494589084858</v>
      </c>
      <c r="Q82" s="165">
        <f t="shared" si="35"/>
        <v>22.435734754652703</v>
      </c>
      <c r="R82" s="165">
        <f t="shared" si="35"/>
        <v>76.367020357405892</v>
      </c>
      <c r="S82" s="165">
        <f t="shared" si="35"/>
        <v>184.98228261384207</v>
      </c>
      <c r="T82" s="165">
        <f t="shared" si="35"/>
        <v>4.7252766276958988</v>
      </c>
      <c r="U82" s="165">
        <f t="shared" si="35"/>
        <v>22.665611792701807</v>
      </c>
      <c r="V82" s="165">
        <f t="shared" si="35"/>
        <v>80.340435666911972</v>
      </c>
      <c r="W82" s="165">
        <f t="shared" si="35"/>
        <v>173.45595558198929</v>
      </c>
      <c r="X82" s="165">
        <f t="shared" si="35"/>
        <v>318.082733320751</v>
      </c>
      <c r="Y82" s="166">
        <f>Y62*M82*60*(12*($T$42/100))</f>
        <v>554.78450430752559</v>
      </c>
      <c r="Z82" s="100"/>
    </row>
    <row r="83" spans="1:31" ht="14.55" customHeight="1" x14ac:dyDescent="0.3">
      <c r="A83" s="328"/>
      <c r="B83" s="26"/>
      <c r="C83" s="144" t="s">
        <v>32</v>
      </c>
      <c r="D83" s="261">
        <f>'Scar volume'!C94</f>
        <v>1.8014065828911867E-3</v>
      </c>
      <c r="E83" s="18">
        <f>'Scar volume'!D94</f>
        <v>4.8420000000000008E-3</v>
      </c>
      <c r="F83" s="18">
        <f>'Scar volume'!E94</f>
        <v>1.6625881212776531E-2</v>
      </c>
      <c r="G83" s="18">
        <f>'Scar volume'!F94</f>
        <v>3.3725475637655114E-2</v>
      </c>
      <c r="H83" s="18">
        <f>'Scar volume'!G94</f>
        <v>1.8014065828911867E-3</v>
      </c>
      <c r="I83" s="18">
        <f>'Scar volume'!H94</f>
        <v>4.8420000000000008E-3</v>
      </c>
      <c r="J83" s="18">
        <f>'Scar volume'!I94</f>
        <v>1.6625881212776531E-2</v>
      </c>
      <c r="K83" s="18">
        <f>'Scar volume'!J94</f>
        <v>3.3725475637655114E-2</v>
      </c>
      <c r="L83" s="18">
        <f>'Scar volume'!K94</f>
        <v>6.3E-2</v>
      </c>
      <c r="M83" s="18">
        <f>'Scar volume'!L94</f>
        <v>9.799620278575906E-2</v>
      </c>
      <c r="N83" s="141"/>
      <c r="O83" s="143"/>
      <c r="P83" s="169">
        <f t="shared" si="31"/>
        <v>3.5355409070348318</v>
      </c>
      <c r="Q83" s="170">
        <f t="shared" si="35"/>
        <v>17.784708119939086</v>
      </c>
      <c r="R83" s="170">
        <f t="shared" si="35"/>
        <v>67.060420225059545</v>
      </c>
      <c r="S83" s="170">
        <f t="shared" si="35"/>
        <v>166.03713213450155</v>
      </c>
      <c r="T83" s="170">
        <f t="shared" si="35"/>
        <v>3.2396513722068678</v>
      </c>
      <c r="U83" s="170">
        <f t="shared" si="35"/>
        <v>18.376338161150269</v>
      </c>
      <c r="V83" s="170">
        <f t="shared" si="35"/>
        <v>72.996891582035687</v>
      </c>
      <c r="W83" s="170">
        <f t="shared" si="35"/>
        <v>167.89926274492035</v>
      </c>
      <c r="X83" s="170">
        <f t="shared" si="35"/>
        <v>371.42120039354302</v>
      </c>
      <c r="Y83" s="171">
        <f>Y63*M83*60*(12*($T$42/100))</f>
        <v>626.16134756099723</v>
      </c>
      <c r="Z83" s="100"/>
    </row>
    <row r="84" spans="1:31" x14ac:dyDescent="0.3">
      <c r="A84" s="328"/>
      <c r="B84" s="327" t="s">
        <v>141</v>
      </c>
      <c r="C84" s="138" t="s">
        <v>235</v>
      </c>
      <c r="D84" s="241">
        <f>'Scar volume'!C95</f>
        <v>8.6132956185873942E-4</v>
      </c>
      <c r="E84" s="15">
        <f>'Scar volume'!D95</f>
        <v>1.9277757964591112E-3</v>
      </c>
      <c r="F84" s="15">
        <f>'Scar volume'!E95</f>
        <v>3.3210226953044744E-3</v>
      </c>
      <c r="G84" s="15">
        <f>'Scar volume'!F95</f>
        <v>7.021762794100439E-3</v>
      </c>
      <c r="H84" s="15">
        <f>'Scar volume'!G95</f>
        <v>8.6132956185873942E-4</v>
      </c>
      <c r="I84" s="15">
        <f>'Scar volume'!H95</f>
        <v>1.9277757964591112E-3</v>
      </c>
      <c r="J84" s="15">
        <f>'Scar volume'!I95</f>
        <v>3.3210226953044744E-3</v>
      </c>
      <c r="K84" s="15">
        <f>'Scar volume'!J95</f>
        <v>7.021762794100439E-3</v>
      </c>
      <c r="L84" s="15">
        <f>'Scar volume'!K95</f>
        <v>8.3913828014795383E-3</v>
      </c>
      <c r="M84" s="15">
        <f>'Scar volume'!L95</f>
        <v>8.3913828014795383E-3</v>
      </c>
      <c r="N84" s="141"/>
      <c r="O84" s="143"/>
      <c r="P84" s="164">
        <f>P64*D84*60*(12*($T$42/100))</f>
        <v>1.8873399997541371</v>
      </c>
      <c r="Q84" s="165">
        <f t="shared" si="35"/>
        <v>4.518803261614317</v>
      </c>
      <c r="R84" s="165">
        <f t="shared" si="35"/>
        <v>6.3961894280980607</v>
      </c>
      <c r="S84" s="165">
        <f t="shared" si="35"/>
        <v>8.1261848830848606</v>
      </c>
      <c r="T84" s="165">
        <f t="shared" si="35"/>
        <v>1.8873399997541371</v>
      </c>
      <c r="U84" s="165">
        <f t="shared" si="35"/>
        <v>4.0001221454834512</v>
      </c>
      <c r="V84" s="165">
        <f t="shared" si="35"/>
        <v>6.3961894280980607</v>
      </c>
      <c r="W84" s="165">
        <f t="shared" si="35"/>
        <v>8.1261848830848606</v>
      </c>
      <c r="X84" s="165">
        <f t="shared" si="35"/>
        <v>10.72626197249363</v>
      </c>
      <c r="Y84" s="166">
        <f>Y64*M84*60*(12*($T$42/100))</f>
        <v>11.571257509417684</v>
      </c>
      <c r="Z84" s="100"/>
    </row>
    <row r="85" spans="1:31" x14ac:dyDescent="0.3">
      <c r="A85" s="328"/>
      <c r="B85" s="327"/>
      <c r="C85" s="141" t="s">
        <v>30</v>
      </c>
      <c r="D85" s="259">
        <f>'Scar volume'!C96</f>
        <v>8.6132956185873942E-4</v>
      </c>
      <c r="E85" s="14">
        <f>'Scar volume'!D96</f>
        <v>1.9277757964591112E-3</v>
      </c>
      <c r="F85" s="14">
        <f>'Scar volume'!E96</f>
        <v>3.3210226953044744E-3</v>
      </c>
      <c r="G85" s="14">
        <f>'Scar volume'!F96</f>
        <v>7.021762794100439E-3</v>
      </c>
      <c r="H85" s="14">
        <f>'Scar volume'!G96</f>
        <v>8.6132956185873942E-4</v>
      </c>
      <c r="I85" s="14">
        <f>'Scar volume'!H96</f>
        <v>1.9277757964591112E-3</v>
      </c>
      <c r="J85" s="14">
        <f>'Scar volume'!I96</f>
        <v>3.3210226953044744E-3</v>
      </c>
      <c r="K85" s="14">
        <f>'Scar volume'!J96</f>
        <v>7.021762794100439E-3</v>
      </c>
      <c r="L85" s="14">
        <f>'Scar volume'!K96</f>
        <v>8.3913828014795383E-3</v>
      </c>
      <c r="M85" s="74"/>
      <c r="N85" s="141"/>
      <c r="O85" s="143"/>
      <c r="P85" s="167">
        <f>P65*D85*60*(12*($T$42/100))</f>
        <v>2.963927139491485</v>
      </c>
      <c r="Q85" s="25">
        <f t="shared" si="35"/>
        <v>9.4803270045161856</v>
      </c>
      <c r="R85" s="25">
        <f t="shared" si="35"/>
        <v>17.118923210066583</v>
      </c>
      <c r="S85" s="25">
        <f t="shared" si="35"/>
        <v>39.018900922406814</v>
      </c>
      <c r="T85" s="25">
        <f t="shared" si="35"/>
        <v>2.674207884443061</v>
      </c>
      <c r="U85" s="25">
        <f t="shared" si="35"/>
        <v>8.2240350306641332</v>
      </c>
      <c r="V85" s="25">
        <f t="shared" si="35"/>
        <v>18.674600878344226</v>
      </c>
      <c r="W85" s="25">
        <f t="shared" si="35"/>
        <v>39.018900922406814</v>
      </c>
      <c r="X85" s="25">
        <f t="shared" si="35"/>
        <v>50.993056072003441</v>
      </c>
      <c r="Y85" s="116"/>
      <c r="Z85" s="100"/>
    </row>
    <row r="86" spans="1:31" x14ac:dyDescent="0.3">
      <c r="A86" s="113"/>
      <c r="B86" s="327"/>
      <c r="C86" s="141" t="s">
        <v>236</v>
      </c>
      <c r="D86" s="259">
        <f>'Scar volume'!C97</f>
        <v>8.6132956185873942E-4</v>
      </c>
      <c r="E86" s="14">
        <f>'Scar volume'!D97</f>
        <v>1.9277757964591112E-3</v>
      </c>
      <c r="F86" s="14">
        <f>'Scar volume'!E97</f>
        <v>3.3210226953044744E-3</v>
      </c>
      <c r="G86" s="14">
        <f>'Scar volume'!F97</f>
        <v>7.021762794100439E-3</v>
      </c>
      <c r="H86" s="14">
        <f>'Scar volume'!G97</f>
        <v>8.6132956185873942E-4</v>
      </c>
      <c r="I86" s="14">
        <f>'Scar volume'!H97</f>
        <v>1.9277757964591112E-3</v>
      </c>
      <c r="J86" s="14">
        <f>'Scar volume'!I97</f>
        <v>3.3210226953044744E-3</v>
      </c>
      <c r="K86" s="14">
        <f>'Scar volume'!J97</f>
        <v>7.021762794100439E-3</v>
      </c>
      <c r="L86" s="14">
        <f>'Scar volume'!K97</f>
        <v>8.3913828014795383E-3</v>
      </c>
      <c r="M86" s="14">
        <f>'Scar volume'!L97</f>
        <v>8.3913828014795383E-3</v>
      </c>
      <c r="N86" s="141"/>
      <c r="O86" s="143"/>
      <c r="P86" s="167">
        <f>P66*D86*60*(12*($T$42/100))</f>
        <v>3.8266741721679915</v>
      </c>
      <c r="Q86" s="25">
        <f t="shared" si="35"/>
        <v>17.858470718663298</v>
      </c>
      <c r="R86" s="25">
        <f t="shared" si="35"/>
        <v>31.057408813806294</v>
      </c>
      <c r="S86" s="25">
        <f t="shared" si="35"/>
        <v>75.556169521687153</v>
      </c>
      <c r="T86" s="25">
        <f t="shared" si="35"/>
        <v>5.1960846610944618</v>
      </c>
      <c r="U86" s="25">
        <f t="shared" si="35"/>
        <v>16.338221761744968</v>
      </c>
      <c r="V86" s="25">
        <f t="shared" si="35"/>
        <v>31.338726684100628</v>
      </c>
      <c r="W86" s="25">
        <f t="shared" si="35"/>
        <v>72.389387033036598</v>
      </c>
      <c r="X86" s="25">
        <f t="shared" si="35"/>
        <v>95.551299966217556</v>
      </c>
      <c r="Y86" s="168">
        <f>Y66*M86*60*(12*($T$42/100))</f>
        <v>103.07865872603486</v>
      </c>
      <c r="Z86" s="100"/>
    </row>
    <row r="87" spans="1:31" x14ac:dyDescent="0.3">
      <c r="A87" s="113"/>
      <c r="B87" s="327"/>
      <c r="C87" s="141" t="s">
        <v>278</v>
      </c>
      <c r="D87" s="259">
        <f>'Scar volume'!C98</f>
        <v>4.9758114791463993E-4</v>
      </c>
      <c r="E87" s="14">
        <f>'Scar volume'!D98</f>
        <v>1.9436400872703049E-3</v>
      </c>
      <c r="F87" s="14">
        <f>'Scar volume'!E98</f>
        <v>3.4047487033814134E-3</v>
      </c>
      <c r="G87" s="14">
        <f>'Scar volume'!F98</f>
        <v>4.5207008045826521E-3</v>
      </c>
      <c r="H87" s="14">
        <f>'Scar volume'!G98</f>
        <v>5.1369531062206669E-4</v>
      </c>
      <c r="I87" s="14">
        <f>'Scar volume'!H98</f>
        <v>2.0123219003391844E-3</v>
      </c>
      <c r="J87" s="14">
        <f>'Scar volume'!I98</f>
        <v>3.6870609119557763E-3</v>
      </c>
      <c r="K87" s="14">
        <f>'Scar volume'!J98</f>
        <v>4.5207008045826521E-3</v>
      </c>
      <c r="L87" s="74"/>
      <c r="M87" s="260"/>
      <c r="N87" s="141"/>
      <c r="O87" s="143"/>
      <c r="P87" s="167">
        <f t="shared" ref="P87:Q94" si="36">P67*D87*60*(12*($T$43/100))</f>
        <v>3.7343153218441247</v>
      </c>
      <c r="Q87" s="25">
        <f t="shared" si="36"/>
        <v>15.381792713017568</v>
      </c>
      <c r="R87" s="25">
        <f t="shared" ref="R87:S92" si="37">R67*F87*60*(12*($T$43/100))</f>
        <v>30.09776050956955</v>
      </c>
      <c r="S87" s="25">
        <f t="shared" si="37"/>
        <v>31.075466544850421</v>
      </c>
      <c r="T87" s="25">
        <f t="shared" ref="T87:T94" si="38">T67*H87*60*(12*($T$43/100))</f>
        <v>3.2523027811440719</v>
      </c>
      <c r="U87" s="25">
        <f t="shared" ref="U87:U94" si="39">U67*I87*60*(12*($T$43/100))</f>
        <v>13.524156272316056</v>
      </c>
      <c r="V87" s="25">
        <f t="shared" ref="V87:W92" si="40">V67*J87*60*(12*($T$43/100))</f>
        <v>28.610741130937164</v>
      </c>
      <c r="W87" s="25">
        <f t="shared" si="40"/>
        <v>25.030403817462375</v>
      </c>
      <c r="X87" s="31"/>
      <c r="Y87" s="116"/>
      <c r="Z87" s="100"/>
    </row>
    <row r="88" spans="1:31" x14ac:dyDescent="0.3">
      <c r="A88" s="113"/>
      <c r="B88" s="327"/>
      <c r="C88" s="141" t="s">
        <v>143</v>
      </c>
      <c r="D88" s="259">
        <f>'Scar volume'!C99</f>
        <v>8.6132956185873942E-4</v>
      </c>
      <c r="E88" s="14">
        <f>'Scar volume'!D99</f>
        <v>1.9277757964591112E-3</v>
      </c>
      <c r="F88" s="14">
        <f>'Scar volume'!E99</f>
        <v>8.9999999999999993E-3</v>
      </c>
      <c r="G88" s="74"/>
      <c r="H88" s="14">
        <f>'Scar volume'!G99</f>
        <v>8.6132956185873942E-4</v>
      </c>
      <c r="I88" s="14">
        <f>'Scar volume'!H99</f>
        <v>1.9277757964591112E-3</v>
      </c>
      <c r="J88" s="14">
        <f>'Scar volume'!I99</f>
        <v>8.9999999999999993E-3</v>
      </c>
      <c r="K88" s="74"/>
      <c r="L88" s="74"/>
      <c r="M88" s="260"/>
      <c r="N88" s="141"/>
      <c r="O88" s="143"/>
      <c r="P88" s="167">
        <f t="shared" si="36"/>
        <v>0.77036406134301005</v>
      </c>
      <c r="Q88" s="25">
        <f t="shared" si="36"/>
        <v>8.0134477907073371</v>
      </c>
      <c r="R88" s="25">
        <f t="shared" si="37"/>
        <v>68.529541829259443</v>
      </c>
      <c r="S88" s="31"/>
      <c r="T88" s="25">
        <f t="shared" si="38"/>
        <v>0.77036406134301005</v>
      </c>
      <c r="U88" s="25">
        <f t="shared" si="39"/>
        <v>8.0134477907073371</v>
      </c>
      <c r="V88" s="25">
        <f t="shared" si="40"/>
        <v>68.529541829259443</v>
      </c>
      <c r="W88" s="31"/>
      <c r="X88" s="31"/>
      <c r="Y88" s="116"/>
      <c r="Z88" s="100"/>
    </row>
    <row r="89" spans="1:31" x14ac:dyDescent="0.3">
      <c r="A89" s="113"/>
      <c r="B89" s="327"/>
      <c r="C89" s="141" t="s">
        <v>279</v>
      </c>
      <c r="D89" s="259">
        <f>'Scar volume'!C100</f>
        <v>8.1809999999999999E-4</v>
      </c>
      <c r="E89" s="14">
        <f>'Scar volume'!D100</f>
        <v>2.4390000000000002E-3</v>
      </c>
      <c r="F89" s="14">
        <f>'Scar volume'!E100</f>
        <v>3.7594500000000001E-3</v>
      </c>
      <c r="G89" s="14">
        <f>'Scar volume'!F100</f>
        <v>4.03215E-3</v>
      </c>
      <c r="H89" s="14">
        <f>'Scar volume'!G100</f>
        <v>8.1809999999999999E-4</v>
      </c>
      <c r="I89" s="14">
        <f>'Scar volume'!H100</f>
        <v>2.4390000000000002E-3</v>
      </c>
      <c r="J89" s="14">
        <f>'Scar volume'!I100</f>
        <v>3.7594500000000001E-3</v>
      </c>
      <c r="K89" s="14">
        <f>'Scar volume'!J100</f>
        <v>4.03215E-3</v>
      </c>
      <c r="L89" s="74"/>
      <c r="M89" s="260"/>
      <c r="N89" s="141"/>
      <c r="O89" s="143"/>
      <c r="P89" s="167">
        <f t="shared" si="36"/>
        <v>3.2081668245043291</v>
      </c>
      <c r="Q89" s="25">
        <f t="shared" si="36"/>
        <v>16.514586957043242</v>
      </c>
      <c r="R89" s="25">
        <f t="shared" si="37"/>
        <v>30.844585937708253</v>
      </c>
      <c r="S89" s="25">
        <f t="shared" si="37"/>
        <v>37.409455921877722</v>
      </c>
      <c r="T89" s="25">
        <f t="shared" si="38"/>
        <v>3.2219158746496182</v>
      </c>
      <c r="U89" s="25">
        <f t="shared" si="39"/>
        <v>16.544502560333182</v>
      </c>
      <c r="V89" s="25">
        <f t="shared" si="40"/>
        <v>30.231563914769286</v>
      </c>
      <c r="W89" s="25">
        <f t="shared" si="40"/>
        <v>36.620459452062768</v>
      </c>
      <c r="X89" s="31"/>
      <c r="Y89" s="116"/>
      <c r="Z89" s="100"/>
    </row>
    <row r="90" spans="1:31" x14ac:dyDescent="0.3">
      <c r="A90" s="113"/>
      <c r="B90" s="327"/>
      <c r="C90" s="141" t="s">
        <v>272</v>
      </c>
      <c r="D90" s="259">
        <f>'Scar volume'!C101</f>
        <v>9.0000000000000008E-4</v>
      </c>
      <c r="E90" s="14">
        <f>'Scar volume'!D101</f>
        <v>2.0666666666666667E-3</v>
      </c>
      <c r="F90" s="14">
        <f>'Scar volume'!E101</f>
        <v>2.1750000000000003E-3</v>
      </c>
      <c r="G90" s="74"/>
      <c r="H90" s="14">
        <f>'Scar volume'!G101</f>
        <v>9.0000000000000008E-4</v>
      </c>
      <c r="I90" s="14">
        <f>'Scar volume'!H101</f>
        <v>2.0666666666666667E-3</v>
      </c>
      <c r="J90" s="14">
        <f>'Scar volume'!I101</f>
        <v>2.1750000000000003E-3</v>
      </c>
      <c r="K90" s="74"/>
      <c r="L90" s="74"/>
      <c r="M90" s="260"/>
      <c r="N90" s="141"/>
      <c r="O90" s="143"/>
      <c r="P90" s="167">
        <f t="shared" si="36"/>
        <v>2.3575608314075325</v>
      </c>
      <c r="Q90" s="25">
        <f t="shared" si="36"/>
        <v>8.615577824519745</v>
      </c>
      <c r="R90" s="25">
        <f t="shared" si="37"/>
        <v>11.568974776089169</v>
      </c>
      <c r="S90" s="31"/>
      <c r="T90" s="25">
        <f t="shared" si="38"/>
        <v>2.1843415656513097</v>
      </c>
      <c r="U90" s="25">
        <f t="shared" si="39"/>
        <v>8.3265354472017847</v>
      </c>
      <c r="V90" s="25">
        <f t="shared" si="40"/>
        <v>11.568974776089169</v>
      </c>
      <c r="W90" s="31"/>
      <c r="X90" s="31"/>
      <c r="Y90" s="116"/>
      <c r="Z90" s="100"/>
    </row>
    <row r="91" spans="1:31" x14ac:dyDescent="0.3">
      <c r="A91" s="113"/>
      <c r="B91" s="327"/>
      <c r="C91" s="141" t="s">
        <v>269</v>
      </c>
      <c r="D91" s="259">
        <f>'Scar volume'!C102</f>
        <v>2.2547168476187616E-3</v>
      </c>
      <c r="E91" s="14">
        <f>'Scar volume'!D102</f>
        <v>2.6544572947579332E-3</v>
      </c>
      <c r="F91" s="14">
        <f>'Scar volume'!E102</f>
        <v>4.5643400458079669E-3</v>
      </c>
      <c r="G91" s="74"/>
      <c r="H91" s="14">
        <f>'Scar volume'!G102</f>
        <v>2.2547168476187616E-3</v>
      </c>
      <c r="I91" s="14">
        <f>'Scar volume'!H102</f>
        <v>2.6544572947579332E-3</v>
      </c>
      <c r="J91" s="14">
        <f>'Scar volume'!I102</f>
        <v>4.5643400458079669E-3</v>
      </c>
      <c r="K91" s="74"/>
      <c r="L91" s="74"/>
      <c r="M91" s="260"/>
      <c r="N91" s="141"/>
      <c r="O91" s="143"/>
      <c r="P91" s="167">
        <f t="shared" si="36"/>
        <v>9.6442097210603794</v>
      </c>
      <c r="Q91" s="25">
        <f t="shared" si="36"/>
        <v>10.271635313213707</v>
      </c>
      <c r="R91" s="25">
        <f t="shared" si="37"/>
        <v>25.481029290838116</v>
      </c>
      <c r="S91" s="31"/>
      <c r="T91" s="25">
        <f t="shared" si="38"/>
        <v>9.1123329098227899</v>
      </c>
      <c r="U91" s="25">
        <f t="shared" si="39"/>
        <v>12.208016399062309</v>
      </c>
      <c r="V91" s="25">
        <f t="shared" si="40"/>
        <v>25.481029290838116</v>
      </c>
      <c r="W91" s="31"/>
      <c r="X91" s="31"/>
      <c r="Y91" s="116"/>
      <c r="Z91" s="100"/>
    </row>
    <row r="92" spans="1:31" x14ac:dyDescent="0.3">
      <c r="A92" s="113"/>
      <c r="B92" s="327"/>
      <c r="C92" s="141" t="s">
        <v>280</v>
      </c>
      <c r="D92" s="259">
        <f>'Scar volume'!C103</f>
        <v>1.3416587091932659E-3</v>
      </c>
      <c r="E92" s="14">
        <f>'Scar volume'!D103</f>
        <v>2.3101694941049132E-3</v>
      </c>
      <c r="F92" s="14">
        <f>'Scar volume'!E103</f>
        <v>5.7101079355399154E-3</v>
      </c>
      <c r="G92" s="74"/>
      <c r="H92" s="14">
        <f>'Scar volume'!G103</f>
        <v>1.3416587091932659E-3</v>
      </c>
      <c r="I92" s="14">
        <f>'Scar volume'!H103</f>
        <v>2.3101694941049132E-3</v>
      </c>
      <c r="J92" s="14">
        <f>'Scar volume'!I103</f>
        <v>5.7101079355399154E-3</v>
      </c>
      <c r="K92" s="74"/>
      <c r="L92" s="74"/>
      <c r="M92" s="260"/>
      <c r="N92" s="141"/>
      <c r="O92" s="143"/>
      <c r="P92" s="167">
        <f t="shared" si="36"/>
        <v>5.6969505530028837</v>
      </c>
      <c r="Q92" s="25">
        <f t="shared" si="36"/>
        <v>13.652879633576612</v>
      </c>
      <c r="R92" s="25">
        <f t="shared" si="37"/>
        <v>48.139799724557939</v>
      </c>
      <c r="S92" s="31"/>
      <c r="T92" s="25">
        <f t="shared" si="38"/>
        <v>5.3729039161645158</v>
      </c>
      <c r="U92" s="25">
        <f t="shared" si="39"/>
        <v>11.86947775907247</v>
      </c>
      <c r="V92" s="25">
        <f t="shared" si="40"/>
        <v>48.52782294974655</v>
      </c>
      <c r="W92" s="31"/>
      <c r="X92" s="31"/>
      <c r="Y92" s="116"/>
      <c r="Z92" s="100"/>
    </row>
    <row r="93" spans="1:31" x14ac:dyDescent="0.3">
      <c r="A93" s="113"/>
      <c r="B93" s="327"/>
      <c r="C93" s="141" t="s">
        <v>31</v>
      </c>
      <c r="D93" s="259">
        <f>'Scar volume'!C104</f>
        <v>3.3313433150500304E-4</v>
      </c>
      <c r="E93" s="14">
        <f>'Scar volume'!D104</f>
        <v>1.1686965701092169E-3</v>
      </c>
      <c r="F93" s="74"/>
      <c r="G93" s="74"/>
      <c r="H93" s="14">
        <f>'Scar volume'!G104</f>
        <v>3.3313433150500304E-4</v>
      </c>
      <c r="I93" s="14">
        <f>'Scar volume'!H104</f>
        <v>1.1686965701092169E-3</v>
      </c>
      <c r="J93" s="74"/>
      <c r="K93" s="74"/>
      <c r="L93" s="74"/>
      <c r="M93" s="260"/>
      <c r="N93" s="141"/>
      <c r="O93" s="143"/>
      <c r="P93" s="167">
        <f t="shared" si="36"/>
        <v>0.31055752409149784</v>
      </c>
      <c r="Q93" s="25">
        <f t="shared" si="36"/>
        <v>2.5195538713354777</v>
      </c>
      <c r="R93" s="31"/>
      <c r="S93" s="31"/>
      <c r="T93" s="25">
        <f t="shared" si="38"/>
        <v>0.28835711091327115</v>
      </c>
      <c r="U93" s="25">
        <f t="shared" si="39"/>
        <v>2.4020558064305693</v>
      </c>
      <c r="V93" s="31"/>
      <c r="W93" s="31"/>
      <c r="X93" s="31"/>
      <c r="Y93" s="116"/>
      <c r="Z93" s="100"/>
    </row>
    <row r="94" spans="1:31" ht="15" thickBot="1" x14ac:dyDescent="0.35">
      <c r="A94" s="113"/>
      <c r="B94" s="327"/>
      <c r="C94" s="146" t="s">
        <v>271</v>
      </c>
      <c r="D94" s="262">
        <f>'Scar volume'!C105</f>
        <v>1.32E-3</v>
      </c>
      <c r="E94" s="156">
        <f>'Scar volume'!D105</f>
        <v>1.8350000000000003E-3</v>
      </c>
      <c r="F94" s="157"/>
      <c r="G94" s="157"/>
      <c r="H94" s="156">
        <f>'Scar volume'!G105</f>
        <v>1.32E-3</v>
      </c>
      <c r="I94" s="156">
        <f>'Scar volume'!H105</f>
        <v>1.8350000000000003E-3</v>
      </c>
      <c r="J94" s="157"/>
      <c r="K94" s="157"/>
      <c r="L94" s="157"/>
      <c r="M94" s="263"/>
      <c r="N94" s="146"/>
      <c r="O94" s="148"/>
      <c r="P94" s="172">
        <f t="shared" si="36"/>
        <v>2.4796904853927684</v>
      </c>
      <c r="Q94" s="173">
        <f t="shared" si="36"/>
        <v>7.3379324603152396</v>
      </c>
      <c r="R94" s="132"/>
      <c r="S94" s="132"/>
      <c r="T94" s="173">
        <f t="shared" si="38"/>
        <v>2.331789982588377</v>
      </c>
      <c r="U94" s="173">
        <f t="shared" si="39"/>
        <v>7.955161681820436</v>
      </c>
      <c r="V94" s="132"/>
      <c r="W94" s="132"/>
      <c r="X94" s="132"/>
      <c r="Y94" s="133"/>
      <c r="Z94" s="100"/>
    </row>
    <row r="95" spans="1:31" x14ac:dyDescent="0.3">
      <c r="A95" s="99"/>
      <c r="B95" s="26"/>
      <c r="C95" s="183"/>
      <c r="D95" s="150"/>
      <c r="E95" s="150"/>
      <c r="F95" s="151"/>
      <c r="G95" s="150"/>
      <c r="H95" s="150"/>
      <c r="I95" s="150"/>
      <c r="J95" s="150"/>
      <c r="K95" s="150"/>
      <c r="L95" s="150"/>
      <c r="M95" s="152"/>
      <c r="N95" s="323" t="s">
        <v>151</v>
      </c>
      <c r="O95" s="324"/>
      <c r="P95" s="149"/>
      <c r="Q95" s="150"/>
      <c r="R95" s="151"/>
      <c r="S95" s="150"/>
      <c r="T95" s="150"/>
      <c r="U95" s="150"/>
      <c r="V95" s="150"/>
      <c r="W95" s="150"/>
      <c r="X95" s="150"/>
      <c r="Y95" s="152"/>
      <c r="Z95" s="100"/>
      <c r="AA95" s="19" t="s">
        <v>152</v>
      </c>
      <c r="AB95" s="19"/>
      <c r="AC95" s="19"/>
      <c r="AD95" s="19"/>
      <c r="AE95" s="19"/>
    </row>
    <row r="96" spans="1:31" x14ac:dyDescent="0.3">
      <c r="A96" s="99"/>
      <c r="B96" s="26"/>
      <c r="C96" s="102" t="s">
        <v>153</v>
      </c>
      <c r="D96" s="26"/>
      <c r="E96" s="26"/>
      <c r="F96" s="158"/>
      <c r="G96" s="26"/>
      <c r="H96" s="26"/>
      <c r="I96" s="26"/>
      <c r="J96" s="26"/>
      <c r="K96" s="26"/>
      <c r="L96" s="153"/>
      <c r="M96" s="155"/>
      <c r="N96" s="325"/>
      <c r="O96" s="326"/>
      <c r="P96" s="153"/>
      <c r="Q96" s="153"/>
      <c r="R96" s="154"/>
      <c r="S96" s="153"/>
      <c r="T96" s="153"/>
      <c r="U96" s="153"/>
      <c r="V96" s="153"/>
      <c r="W96" s="153"/>
      <c r="X96" s="153"/>
      <c r="Y96" s="155"/>
      <c r="Z96" s="100"/>
      <c r="AA96" s="163" t="s">
        <v>23</v>
      </c>
      <c r="AB96" s="163" t="s">
        <v>154</v>
      </c>
      <c r="AC96" s="163" t="s">
        <v>22</v>
      </c>
      <c r="AD96" s="163" t="s">
        <v>155</v>
      </c>
      <c r="AE96" s="163" t="s">
        <v>5</v>
      </c>
    </row>
    <row r="97" spans="1:31" ht="14.55" customHeight="1" x14ac:dyDescent="0.3">
      <c r="A97" s="113"/>
      <c r="B97" s="327" t="s">
        <v>139</v>
      </c>
      <c r="C97" s="138" t="s">
        <v>66</v>
      </c>
      <c r="D97" s="264">
        <f>(P77*$D$53)/1000</f>
        <v>4.8121207941424923E-2</v>
      </c>
      <c r="E97" s="174">
        <f t="shared" ref="E97:M112" si="41">(Q77*$D$53)/1000</f>
        <v>0.20962924607418046</v>
      </c>
      <c r="F97" s="174">
        <f t="shared" si="41"/>
        <v>0.48229737644015247</v>
      </c>
      <c r="G97" s="174">
        <f t="shared" si="41"/>
        <v>0.83641996397408525</v>
      </c>
      <c r="H97" s="174">
        <f t="shared" si="41"/>
        <v>3.9964318861732573E-2</v>
      </c>
      <c r="I97" s="174">
        <f t="shared" si="41"/>
        <v>0.19146147628910126</v>
      </c>
      <c r="J97" s="174">
        <f t="shared" si="41"/>
        <v>0.4905177238521663</v>
      </c>
      <c r="K97" s="174">
        <f t="shared" si="41"/>
        <v>0.74057640270036129</v>
      </c>
      <c r="L97" s="174">
        <f t="shared" si="41"/>
        <v>1.3083433373103075</v>
      </c>
      <c r="M97" s="175">
        <f>(Y77*$D$53)/1000</f>
        <v>1.8202119912790615</v>
      </c>
      <c r="N97" s="138"/>
      <c r="O97" s="140"/>
      <c r="P97" s="164">
        <f t="shared" ref="P97:Y98" si="42">D97*365</f>
        <v>17.564240898620096</v>
      </c>
      <c r="Q97" s="165">
        <f t="shared" si="42"/>
        <v>76.514674817075871</v>
      </c>
      <c r="R97" s="165">
        <f t="shared" si="42"/>
        <v>176.03854240065564</v>
      </c>
      <c r="S97" s="165">
        <f t="shared" si="42"/>
        <v>305.29328685054111</v>
      </c>
      <c r="T97" s="165">
        <f t="shared" si="42"/>
        <v>14.58697638453239</v>
      </c>
      <c r="U97" s="165">
        <f t="shared" si="42"/>
        <v>69.883438845521965</v>
      </c>
      <c r="V97" s="165">
        <f t="shared" si="42"/>
        <v>179.03896920604069</v>
      </c>
      <c r="W97" s="165">
        <f t="shared" si="42"/>
        <v>270.31038698563185</v>
      </c>
      <c r="X97" s="165">
        <f t="shared" si="42"/>
        <v>477.54531811826223</v>
      </c>
      <c r="Y97" s="166">
        <f t="shared" si="42"/>
        <v>664.37737681685746</v>
      </c>
      <c r="Z97" s="100"/>
      <c r="AA97" s="19"/>
      <c r="AB97" s="19"/>
      <c r="AC97" s="19"/>
      <c r="AD97" s="19"/>
      <c r="AE97" s="19"/>
    </row>
    <row r="98" spans="1:31" x14ac:dyDescent="0.3">
      <c r="A98" s="113"/>
      <c r="B98" s="327"/>
      <c r="C98" s="141" t="s">
        <v>54</v>
      </c>
      <c r="D98" s="265">
        <f t="shared" ref="D98:E114" si="43">(P78*$D$53)/1000</f>
        <v>4.1054143260138051E-2</v>
      </c>
      <c r="E98" s="176">
        <f t="shared" si="41"/>
        <v>0.19750466307957776</v>
      </c>
      <c r="F98" s="176">
        <f>(R78*$D$53)/1000</f>
        <v>0.76674943725269695</v>
      </c>
      <c r="G98" s="176">
        <f>(S78*$D$53)/1000</f>
        <v>1.2474593818318218</v>
      </c>
      <c r="H98" s="176">
        <f t="shared" si="41"/>
        <v>4.0740916758147276E-2</v>
      </c>
      <c r="I98" s="176">
        <f t="shared" si="41"/>
        <v>0.20040771123016618</v>
      </c>
      <c r="J98" s="176">
        <f>(V78*$D$53)/1000</f>
        <v>0.72065065911852444</v>
      </c>
      <c r="K98" s="176">
        <f>(W78*$D$53)/1000</f>
        <v>1.1370149063913684</v>
      </c>
      <c r="L98" s="176">
        <f>(X78*$D$53)/1000</f>
        <v>1.533464033243036</v>
      </c>
      <c r="M98" s="177">
        <f>(Y78*$D$53)/1000</f>
        <v>1.8008130508989895</v>
      </c>
      <c r="N98" s="141"/>
      <c r="O98" s="143"/>
      <c r="P98" s="167">
        <f t="shared" si="42"/>
        <v>14.984762289950389</v>
      </c>
      <c r="Q98" s="25">
        <f t="shared" si="42"/>
        <v>72.089202024045875</v>
      </c>
      <c r="R98" s="25">
        <f t="shared" si="42"/>
        <v>279.86354459723441</v>
      </c>
      <c r="S98" s="25">
        <f t="shared" si="42"/>
        <v>455.32267436861497</v>
      </c>
      <c r="T98" s="25">
        <f t="shared" si="42"/>
        <v>14.870434616723756</v>
      </c>
      <c r="U98" s="25">
        <f t="shared" si="42"/>
        <v>73.148814599010649</v>
      </c>
      <c r="V98" s="25">
        <f t="shared" si="42"/>
        <v>263.03749057826144</v>
      </c>
      <c r="W98" s="25">
        <f t="shared" si="42"/>
        <v>415.01044083284944</v>
      </c>
      <c r="X98" s="25">
        <f t="shared" si="42"/>
        <v>559.71437213370814</v>
      </c>
      <c r="Y98" s="168">
        <f t="shared" si="42"/>
        <v>657.29676357813116</v>
      </c>
      <c r="Z98" s="100"/>
      <c r="AA98" s="25">
        <f>1017.7/2.44*1.47</f>
        <v>613.12254098360654</v>
      </c>
      <c r="AB98" s="25">
        <f>290/1.4*1.47</f>
        <v>304.50000000000006</v>
      </c>
      <c r="AC98" s="25">
        <f>304/1.76*1.47</f>
        <v>253.90909090909091</v>
      </c>
      <c r="AD98" s="25">
        <f>462/1.43*1.47</f>
        <v>474.92307692307696</v>
      </c>
      <c r="AE98" s="25">
        <f>405/1.44*1.47</f>
        <v>413.4375</v>
      </c>
    </row>
    <row r="99" spans="1:31" ht="14.55" customHeight="1" x14ac:dyDescent="0.3">
      <c r="A99" s="26"/>
      <c r="B99" s="327"/>
      <c r="C99" s="141" t="s">
        <v>277</v>
      </c>
      <c r="D99" s="265">
        <f t="shared" si="43"/>
        <v>9.412013624835151E-3</v>
      </c>
      <c r="E99" s="176">
        <f t="shared" si="41"/>
        <v>3.9412450809605655E-2</v>
      </c>
      <c r="F99" s="176">
        <f t="shared" si="41"/>
        <v>8.9779355286934565E-2</v>
      </c>
      <c r="G99" s="73"/>
      <c r="H99" s="176">
        <f t="shared" si="41"/>
        <v>8.0075505305511243E-3</v>
      </c>
      <c r="I99" s="176">
        <f t="shared" si="41"/>
        <v>3.4745091730889091E-2</v>
      </c>
      <c r="J99" s="176">
        <f t="shared" si="41"/>
        <v>8.9779355286934565E-2</v>
      </c>
      <c r="K99" s="73"/>
      <c r="L99" s="73"/>
      <c r="M99" s="178"/>
      <c r="N99" s="141"/>
      <c r="O99" s="143"/>
      <c r="P99" s="167">
        <f t="shared" ref="P99:P112" si="44">D99*365</f>
        <v>3.43538497306483</v>
      </c>
      <c r="Q99" s="25">
        <f t="shared" ref="Q99:Q112" si="45">E99*365</f>
        <v>14.385544545506065</v>
      </c>
      <c r="R99" s="25">
        <f t="shared" ref="R99:R112" si="46">F99*365</f>
        <v>32.769464679731115</v>
      </c>
      <c r="S99" s="31"/>
      <c r="T99" s="25">
        <f t="shared" ref="T99:T112" si="47">H99*365</f>
        <v>2.9227559436511603</v>
      </c>
      <c r="U99" s="25">
        <f t="shared" ref="U99:U112" si="48">I99*365</f>
        <v>12.681958481774519</v>
      </c>
      <c r="V99" s="25">
        <f t="shared" ref="V99:V112" si="49">J99*365</f>
        <v>32.769464679731115</v>
      </c>
      <c r="W99" s="31"/>
      <c r="X99" s="31"/>
      <c r="Y99" s="116"/>
      <c r="Z99" s="100"/>
      <c r="AA99" s="25">
        <f>23.6/2.44*1.47</f>
        <v>14.218032786885246</v>
      </c>
      <c r="AB99" s="25">
        <f>42.3/1.4*1.47</f>
        <v>44.414999999999999</v>
      </c>
      <c r="AC99" s="25"/>
      <c r="AD99" s="25">
        <f>20.6/1.43*1.47</f>
        <v>21.176223776223779</v>
      </c>
      <c r="AE99" s="25">
        <f>55/1.44*1.47</f>
        <v>56.145833333333329</v>
      </c>
    </row>
    <row r="100" spans="1:31" x14ac:dyDescent="0.3">
      <c r="A100" s="328" t="s">
        <v>140</v>
      </c>
      <c r="B100" s="327"/>
      <c r="C100" s="141" t="s">
        <v>239</v>
      </c>
      <c r="D100" s="265">
        <f t="shared" si="43"/>
        <v>1.4307596265632326E-2</v>
      </c>
      <c r="E100" s="176">
        <f t="shared" si="41"/>
        <v>3.7858362574138021E-2</v>
      </c>
      <c r="F100" s="176">
        <f t="shared" si="41"/>
        <v>0.12220994785618559</v>
      </c>
      <c r="G100" s="73"/>
      <c r="H100" s="176">
        <f t="shared" si="41"/>
        <v>1.3854519469343423E-2</v>
      </c>
      <c r="I100" s="176">
        <f t="shared" si="41"/>
        <v>3.6911514058142553E-2</v>
      </c>
      <c r="J100" s="176">
        <f t="shared" si="41"/>
        <v>0.12220994785618559</v>
      </c>
      <c r="K100" s="73"/>
      <c r="L100" s="73"/>
      <c r="M100" s="178"/>
      <c r="N100" s="141"/>
      <c r="O100" s="143"/>
      <c r="P100" s="167">
        <f t="shared" si="44"/>
        <v>5.2222726369557986</v>
      </c>
      <c r="Q100" s="25">
        <f t="shared" si="45"/>
        <v>13.818302339560377</v>
      </c>
      <c r="R100" s="25">
        <f t="shared" si="46"/>
        <v>44.606630967507741</v>
      </c>
      <c r="S100" s="31"/>
      <c r="T100" s="25">
        <f t="shared" si="47"/>
        <v>5.0568996063103491</v>
      </c>
      <c r="U100" s="25">
        <f t="shared" si="48"/>
        <v>13.472702631222031</v>
      </c>
      <c r="V100" s="25">
        <f t="shared" si="49"/>
        <v>44.606630967507741</v>
      </c>
      <c r="W100" s="31"/>
      <c r="X100" s="31"/>
      <c r="Y100" s="116"/>
      <c r="Z100" s="100"/>
      <c r="AA100" s="25"/>
      <c r="AB100" s="25"/>
      <c r="AC100" s="25"/>
      <c r="AD100" s="25"/>
      <c r="AE100" s="25"/>
    </row>
    <row r="101" spans="1:31" x14ac:dyDescent="0.3">
      <c r="A101" s="328"/>
      <c r="B101" s="327"/>
      <c r="C101" s="141" t="s">
        <v>51</v>
      </c>
      <c r="D101" s="265">
        <f t="shared" si="43"/>
        <v>1.1290200446276037E-2</v>
      </c>
      <c r="E101" s="176">
        <f t="shared" si="41"/>
        <v>9.4820793903979281E-2</v>
      </c>
      <c r="F101" s="176">
        <f t="shared" si="41"/>
        <v>0.28760782586420214</v>
      </c>
      <c r="G101" s="176">
        <f t="shared" si="41"/>
        <v>0.64408704573412834</v>
      </c>
      <c r="H101" s="176">
        <f t="shared" si="41"/>
        <v>1.1290200446276037E-2</v>
      </c>
      <c r="I101" s="176">
        <f t="shared" si="41"/>
        <v>9.4820793903979281E-2</v>
      </c>
      <c r="J101" s="176">
        <f t="shared" si="41"/>
        <v>0.28760782586420214</v>
      </c>
      <c r="K101" s="176">
        <f t="shared" si="41"/>
        <v>0.64408704573412834</v>
      </c>
      <c r="L101" s="176">
        <f t="shared" si="41"/>
        <v>0.57546210452380653</v>
      </c>
      <c r="M101" s="178"/>
      <c r="N101" s="141"/>
      <c r="O101" s="143"/>
      <c r="P101" s="167">
        <f t="shared" si="44"/>
        <v>4.1209231628907537</v>
      </c>
      <c r="Q101" s="25">
        <f t="shared" si="45"/>
        <v>34.60958977495244</v>
      </c>
      <c r="R101" s="25">
        <f t="shared" si="46"/>
        <v>104.97685644043378</v>
      </c>
      <c r="S101" s="25">
        <f t="shared" ref="S101:S107" si="50">G101*365</f>
        <v>235.09177169295685</v>
      </c>
      <c r="T101" s="25">
        <f t="shared" si="47"/>
        <v>4.1209231628907537</v>
      </c>
      <c r="U101" s="25">
        <f t="shared" si="48"/>
        <v>34.60958977495244</v>
      </c>
      <c r="V101" s="25">
        <f t="shared" si="49"/>
        <v>104.97685644043378</v>
      </c>
      <c r="W101" s="25">
        <f t="shared" ref="W101:X106" si="51">K101*365</f>
        <v>235.09177169295685</v>
      </c>
      <c r="X101" s="25">
        <f t="shared" si="51"/>
        <v>210.04366815118939</v>
      </c>
      <c r="Y101" s="116"/>
      <c r="Z101" s="100"/>
      <c r="AA101" s="25"/>
      <c r="AB101" s="25"/>
      <c r="AC101" s="25">
        <f>380/1.76*1.47</f>
        <v>317.38636363636363</v>
      </c>
      <c r="AD101" s="25">
        <f>3.6/1.43*1.47</f>
        <v>3.7006993006993008</v>
      </c>
      <c r="AE101" s="25"/>
    </row>
    <row r="102" spans="1:31" x14ac:dyDescent="0.3">
      <c r="A102" s="328"/>
      <c r="B102" s="117"/>
      <c r="C102" s="138" t="s">
        <v>20</v>
      </c>
      <c r="D102" s="264">
        <f t="shared" si="43"/>
        <v>7.1076697045954736E-3</v>
      </c>
      <c r="E102" s="174">
        <f t="shared" si="41"/>
        <v>3.2980530089339474E-2</v>
      </c>
      <c r="F102" s="174">
        <f t="shared" si="41"/>
        <v>0.11225951992538666</v>
      </c>
      <c r="G102" s="174">
        <f t="shared" si="41"/>
        <v>0.27192395544234782</v>
      </c>
      <c r="H102" s="174">
        <f t="shared" si="41"/>
        <v>6.9461566427129707E-3</v>
      </c>
      <c r="I102" s="174">
        <f t="shared" si="41"/>
        <v>3.3318449335271651E-2</v>
      </c>
      <c r="J102" s="174">
        <f t="shared" si="41"/>
        <v>0.1181004404303606</v>
      </c>
      <c r="K102" s="174">
        <f t="shared" si="41"/>
        <v>0.25498025470552427</v>
      </c>
      <c r="L102" s="174">
        <f t="shared" si="41"/>
        <v>0.46758161798150394</v>
      </c>
      <c r="M102" s="175">
        <f t="shared" si="41"/>
        <v>0.81553322133206252</v>
      </c>
      <c r="N102" s="141"/>
      <c r="O102" s="143"/>
      <c r="P102" s="164">
        <f t="shared" si="44"/>
        <v>2.594299442177348</v>
      </c>
      <c r="Q102" s="165">
        <f t="shared" si="45"/>
        <v>12.037893482608908</v>
      </c>
      <c r="R102" s="165">
        <f t="shared" si="46"/>
        <v>40.97472477276613</v>
      </c>
      <c r="S102" s="165">
        <f t="shared" si="50"/>
        <v>99.252243736456961</v>
      </c>
      <c r="T102" s="165">
        <f t="shared" si="47"/>
        <v>2.5353471745902345</v>
      </c>
      <c r="U102" s="165">
        <f t="shared" si="48"/>
        <v>12.161234007374153</v>
      </c>
      <c r="V102" s="165">
        <f t="shared" si="49"/>
        <v>43.10666075708162</v>
      </c>
      <c r="W102" s="165">
        <f t="shared" si="51"/>
        <v>93.067792967516354</v>
      </c>
      <c r="X102" s="165">
        <f t="shared" si="51"/>
        <v>170.66729056324894</v>
      </c>
      <c r="Y102" s="166">
        <f>M102*365</f>
        <v>297.6696257862028</v>
      </c>
      <c r="Z102" s="100"/>
      <c r="AA102" s="25"/>
      <c r="AB102" s="25">
        <f>232/1.4*1.47</f>
        <v>243.6</v>
      </c>
      <c r="AC102" s="25"/>
      <c r="AD102" s="25"/>
      <c r="AE102" s="25"/>
    </row>
    <row r="103" spans="1:31" ht="14.55" customHeight="1" x14ac:dyDescent="0.3">
      <c r="A103" s="328"/>
      <c r="B103" s="26"/>
      <c r="C103" s="144" t="s">
        <v>32</v>
      </c>
      <c r="D103" s="266">
        <f t="shared" si="43"/>
        <v>5.1972451333412023E-3</v>
      </c>
      <c r="E103" s="179">
        <f t="shared" si="41"/>
        <v>2.6143520936310456E-2</v>
      </c>
      <c r="F103" s="179">
        <f t="shared" si="41"/>
        <v>9.8578817730837529E-2</v>
      </c>
      <c r="G103" s="179">
        <f t="shared" si="41"/>
        <v>0.24407458423771727</v>
      </c>
      <c r="H103" s="179">
        <f t="shared" si="41"/>
        <v>4.7622875171440954E-3</v>
      </c>
      <c r="I103" s="179">
        <f t="shared" si="41"/>
        <v>2.7013217096890894E-2</v>
      </c>
      <c r="J103" s="179">
        <f t="shared" si="41"/>
        <v>0.10730543062559246</v>
      </c>
      <c r="K103" s="179">
        <f t="shared" si="41"/>
        <v>0.2468119162350329</v>
      </c>
      <c r="L103" s="179">
        <f t="shared" si="41"/>
        <v>0.54598916457850832</v>
      </c>
      <c r="M103" s="180">
        <f t="shared" si="41"/>
        <v>0.92045718091466588</v>
      </c>
      <c r="N103" s="141"/>
      <c r="O103" s="143"/>
      <c r="P103" s="169">
        <f t="shared" si="44"/>
        <v>1.8969944736695388</v>
      </c>
      <c r="Q103" s="170">
        <f t="shared" si="45"/>
        <v>9.5423851417533161</v>
      </c>
      <c r="R103" s="170">
        <f t="shared" si="46"/>
        <v>35.981268471755698</v>
      </c>
      <c r="S103" s="170">
        <f t="shared" si="50"/>
        <v>89.087223246766811</v>
      </c>
      <c r="T103" s="170">
        <f t="shared" si="47"/>
        <v>1.7382349437575948</v>
      </c>
      <c r="U103" s="170">
        <f t="shared" si="48"/>
        <v>9.8598242403651764</v>
      </c>
      <c r="V103" s="170">
        <f t="shared" si="49"/>
        <v>39.166482178341248</v>
      </c>
      <c r="W103" s="170">
        <f t="shared" si="51"/>
        <v>90.086349425787006</v>
      </c>
      <c r="X103" s="170">
        <f t="shared" si="51"/>
        <v>199.28604507115554</v>
      </c>
      <c r="Y103" s="171">
        <f>M103*365</f>
        <v>335.96687103385307</v>
      </c>
      <c r="Z103" s="100"/>
      <c r="AA103" s="25"/>
      <c r="AB103" s="25">
        <f>44/1.4*1.47</f>
        <v>46.2</v>
      </c>
      <c r="AC103" s="25"/>
      <c r="AD103" s="25">
        <f>1.67/1.43*1.47</f>
        <v>1.7167132867132868</v>
      </c>
      <c r="AE103" s="25"/>
    </row>
    <row r="104" spans="1:31" x14ac:dyDescent="0.3">
      <c r="A104" s="328"/>
      <c r="B104" s="327" t="s">
        <v>141</v>
      </c>
      <c r="C104" s="138" t="s">
        <v>235</v>
      </c>
      <c r="D104" s="264">
        <f t="shared" si="43"/>
        <v>2.7743897996385814E-3</v>
      </c>
      <c r="E104" s="174">
        <f t="shared" si="41"/>
        <v>6.6426407945730454E-3</v>
      </c>
      <c r="F104" s="174">
        <f t="shared" si="41"/>
        <v>9.4023984593041478E-3</v>
      </c>
      <c r="G104" s="174">
        <f t="shared" si="41"/>
        <v>1.1945491778134745E-2</v>
      </c>
      <c r="H104" s="174">
        <f t="shared" si="41"/>
        <v>2.7743897996385814E-3</v>
      </c>
      <c r="I104" s="174">
        <f t="shared" si="41"/>
        <v>5.8801795538606727E-3</v>
      </c>
      <c r="J104" s="174">
        <f t="shared" si="41"/>
        <v>9.4023984593041478E-3</v>
      </c>
      <c r="K104" s="174">
        <f t="shared" si="41"/>
        <v>1.1945491778134745E-2</v>
      </c>
      <c r="L104" s="174">
        <f t="shared" si="41"/>
        <v>1.5767605099565634E-2</v>
      </c>
      <c r="M104" s="175">
        <f t="shared" si="41"/>
        <v>1.7009748538843995E-2</v>
      </c>
      <c r="N104" s="141"/>
      <c r="O104" s="143"/>
      <c r="P104" s="164">
        <f t="shared" si="44"/>
        <v>1.0126522768680821</v>
      </c>
      <c r="Q104" s="165">
        <f t="shared" si="45"/>
        <v>2.4245638900191615</v>
      </c>
      <c r="R104" s="165">
        <f t="shared" si="46"/>
        <v>3.4318754376460139</v>
      </c>
      <c r="S104" s="165">
        <f t="shared" si="50"/>
        <v>4.3601044990191822</v>
      </c>
      <c r="T104" s="165">
        <f t="shared" si="47"/>
        <v>1.0126522768680821</v>
      </c>
      <c r="U104" s="165">
        <f t="shared" si="48"/>
        <v>2.1462655371591457</v>
      </c>
      <c r="V104" s="165">
        <f t="shared" si="49"/>
        <v>3.4318754376460139</v>
      </c>
      <c r="W104" s="165">
        <f t="shared" si="51"/>
        <v>4.3601044990191822</v>
      </c>
      <c r="X104" s="165">
        <f t="shared" si="51"/>
        <v>5.7551758613414563</v>
      </c>
      <c r="Y104" s="166">
        <f>M104*365</f>
        <v>6.2085582166780586</v>
      </c>
      <c r="Z104" s="100"/>
      <c r="AA104" s="25"/>
      <c r="AB104" s="25">
        <f>15/1.4*1.47</f>
        <v>15.750000000000002</v>
      </c>
      <c r="AC104" s="25"/>
      <c r="AD104" s="25">
        <f>1.5/1.43*1.47</f>
        <v>1.5419580419580419</v>
      </c>
      <c r="AE104" s="25"/>
    </row>
    <row r="105" spans="1:31" x14ac:dyDescent="0.3">
      <c r="A105" s="328"/>
      <c r="B105" s="327"/>
      <c r="C105" s="141" t="s">
        <v>30</v>
      </c>
      <c r="D105" s="265">
        <f t="shared" si="43"/>
        <v>4.3569728950524824E-3</v>
      </c>
      <c r="E105" s="176">
        <f t="shared" si="41"/>
        <v>1.3936080696638794E-2</v>
      </c>
      <c r="F105" s="176">
        <f t="shared" si="41"/>
        <v>2.5164817118797877E-2</v>
      </c>
      <c r="G105" s="176">
        <f t="shared" si="41"/>
        <v>5.7357784355938017E-2</v>
      </c>
      <c r="H105" s="176">
        <f t="shared" si="41"/>
        <v>3.9310855901312997E-3</v>
      </c>
      <c r="I105" s="176">
        <f t="shared" si="41"/>
        <v>1.2089331495076277E-2</v>
      </c>
      <c r="J105" s="176">
        <f t="shared" si="41"/>
        <v>2.7451663291166009E-2</v>
      </c>
      <c r="K105" s="176">
        <f t="shared" si="41"/>
        <v>5.7357784355938017E-2</v>
      </c>
      <c r="L105" s="176">
        <f t="shared" si="41"/>
        <v>7.4959792425845051E-2</v>
      </c>
      <c r="M105" s="178"/>
      <c r="N105" s="141"/>
      <c r="O105" s="143"/>
      <c r="P105" s="167">
        <f t="shared" si="44"/>
        <v>1.590295106694156</v>
      </c>
      <c r="Q105" s="25">
        <f t="shared" si="45"/>
        <v>5.0866694542731592</v>
      </c>
      <c r="R105" s="25">
        <f t="shared" si="46"/>
        <v>9.1851582483612244</v>
      </c>
      <c r="S105" s="25">
        <f t="shared" si="50"/>
        <v>20.935591289917376</v>
      </c>
      <c r="T105" s="25">
        <f t="shared" si="47"/>
        <v>1.4348462403979243</v>
      </c>
      <c r="U105" s="25">
        <f t="shared" si="48"/>
        <v>4.4126059957028412</v>
      </c>
      <c r="V105" s="25">
        <f t="shared" si="49"/>
        <v>10.019857101275594</v>
      </c>
      <c r="W105" s="25">
        <f t="shared" si="51"/>
        <v>20.935591289917376</v>
      </c>
      <c r="X105" s="25">
        <f t="shared" si="51"/>
        <v>27.360324235433442</v>
      </c>
      <c r="Y105" s="116"/>
      <c r="Z105" s="100"/>
      <c r="AA105" s="25"/>
      <c r="AB105" s="25">
        <f>43/1.4*1.47</f>
        <v>45.15</v>
      </c>
      <c r="AC105" s="25"/>
      <c r="AD105" s="25"/>
      <c r="AE105" s="25"/>
    </row>
    <row r="106" spans="1:31" x14ac:dyDescent="0.3">
      <c r="A106" s="113"/>
      <c r="B106" s="327"/>
      <c r="C106" s="141" t="s">
        <v>236</v>
      </c>
      <c r="D106" s="265">
        <f t="shared" si="43"/>
        <v>5.6252110330869479E-3</v>
      </c>
      <c r="E106" s="176">
        <f t="shared" si="41"/>
        <v>2.6251951956435048E-2</v>
      </c>
      <c r="F106" s="176">
        <f t="shared" si="41"/>
        <v>4.5654390956295254E-2</v>
      </c>
      <c r="G106" s="176">
        <f t="shared" si="41"/>
        <v>0.11106756919688011</v>
      </c>
      <c r="H106" s="176">
        <f t="shared" si="41"/>
        <v>7.6382444518088592E-3</v>
      </c>
      <c r="I106" s="176">
        <f t="shared" si="41"/>
        <v>2.4017185989765103E-2</v>
      </c>
      <c r="J106" s="176">
        <f t="shared" si="41"/>
        <v>4.6067928225627927E-2</v>
      </c>
      <c r="K106" s="176">
        <f t="shared" si="41"/>
        <v>0.1064123989385638</v>
      </c>
      <c r="L106" s="176">
        <f t="shared" si="41"/>
        <v>0.14046041095033979</v>
      </c>
      <c r="M106" s="177">
        <f t="shared" si="41"/>
        <v>0.15152562832727126</v>
      </c>
      <c r="N106" s="141"/>
      <c r="O106" s="143"/>
      <c r="P106" s="167">
        <f t="shared" si="44"/>
        <v>2.0532020270767362</v>
      </c>
      <c r="Q106" s="25">
        <f t="shared" si="45"/>
        <v>9.5819624640987922</v>
      </c>
      <c r="R106" s="25">
        <f t="shared" si="46"/>
        <v>16.663852699047769</v>
      </c>
      <c r="S106" s="25">
        <f t="shared" si="50"/>
        <v>40.53966275686124</v>
      </c>
      <c r="T106" s="25">
        <f t="shared" si="47"/>
        <v>2.7879592249102334</v>
      </c>
      <c r="U106" s="25">
        <f t="shared" si="48"/>
        <v>8.7662728862642627</v>
      </c>
      <c r="V106" s="25">
        <f t="shared" si="49"/>
        <v>16.814793802354192</v>
      </c>
      <c r="W106" s="25">
        <f t="shared" si="51"/>
        <v>38.840525612575789</v>
      </c>
      <c r="X106" s="25">
        <f t="shared" si="51"/>
        <v>51.268049996874019</v>
      </c>
      <c r="Y106" s="168">
        <f>M106*365</f>
        <v>55.306854339454013</v>
      </c>
      <c r="Z106" s="100"/>
      <c r="AA106" s="25"/>
      <c r="AB106" s="25"/>
      <c r="AC106" s="25"/>
      <c r="AD106" s="25">
        <f>1.5/1.43*1.47</f>
        <v>1.5419580419580419</v>
      </c>
      <c r="AE106" s="25"/>
    </row>
    <row r="107" spans="1:31" x14ac:dyDescent="0.3">
      <c r="A107" s="113"/>
      <c r="B107" s="327"/>
      <c r="C107" s="141" t="s">
        <v>278</v>
      </c>
      <c r="D107" s="265">
        <f t="shared" si="43"/>
        <v>5.4894435231108638E-3</v>
      </c>
      <c r="E107" s="176">
        <f t="shared" si="41"/>
        <v>2.2611235288135825E-2</v>
      </c>
      <c r="F107" s="176">
        <f t="shared" si="41"/>
        <v>4.4243707949067235E-2</v>
      </c>
      <c r="G107" s="176">
        <f t="shared" si="41"/>
        <v>4.5680935820930114E-2</v>
      </c>
      <c r="H107" s="176">
        <f t="shared" si="41"/>
        <v>4.7808850882817859E-3</v>
      </c>
      <c r="I107" s="176">
        <f t="shared" si="41"/>
        <v>1.9880509720304602E-2</v>
      </c>
      <c r="J107" s="176">
        <f t="shared" si="41"/>
        <v>4.2057789462477631E-2</v>
      </c>
      <c r="K107" s="176">
        <f t="shared" si="41"/>
        <v>3.679469361166969E-2</v>
      </c>
      <c r="L107" s="73"/>
      <c r="M107" s="178"/>
      <c r="N107" s="141"/>
      <c r="O107" s="143"/>
      <c r="P107" s="167">
        <f t="shared" si="44"/>
        <v>2.0036468859354652</v>
      </c>
      <c r="Q107" s="25">
        <f t="shared" si="45"/>
        <v>8.2531008801695762</v>
      </c>
      <c r="R107" s="25">
        <f t="shared" si="46"/>
        <v>16.148953401409539</v>
      </c>
      <c r="S107" s="25">
        <f t="shared" si="50"/>
        <v>16.673541574639493</v>
      </c>
      <c r="T107" s="25">
        <f t="shared" si="47"/>
        <v>1.7450230572228518</v>
      </c>
      <c r="U107" s="25">
        <f t="shared" si="48"/>
        <v>7.2563860479111799</v>
      </c>
      <c r="V107" s="25">
        <f t="shared" si="49"/>
        <v>15.351093153804335</v>
      </c>
      <c r="W107" s="25">
        <f>K107*365</f>
        <v>13.430063168259437</v>
      </c>
      <c r="X107" s="31"/>
      <c r="Y107" s="116"/>
      <c r="Z107" s="100"/>
      <c r="AA107" s="25"/>
      <c r="AB107" s="25"/>
      <c r="AC107" s="25"/>
      <c r="AD107" s="25"/>
      <c r="AE107" s="25"/>
    </row>
    <row r="108" spans="1:31" x14ac:dyDescent="0.3">
      <c r="A108" s="113"/>
      <c r="B108" s="327"/>
      <c r="C108" s="141" t="s">
        <v>143</v>
      </c>
      <c r="D108" s="265">
        <f t="shared" si="43"/>
        <v>1.1324351701742248E-3</v>
      </c>
      <c r="E108" s="176">
        <f t="shared" si="41"/>
        <v>1.1779768252339786E-2</v>
      </c>
      <c r="F108" s="176">
        <f t="shared" si="41"/>
        <v>0.10073842648901138</v>
      </c>
      <c r="G108" s="73"/>
      <c r="H108" s="176">
        <f t="shared" si="41"/>
        <v>1.1324351701742248E-3</v>
      </c>
      <c r="I108" s="176">
        <f t="shared" si="41"/>
        <v>1.1779768252339786E-2</v>
      </c>
      <c r="J108" s="176">
        <f t="shared" si="41"/>
        <v>0.10073842648901138</v>
      </c>
      <c r="K108" s="73"/>
      <c r="L108" s="73"/>
      <c r="M108" s="178"/>
      <c r="N108" s="141"/>
      <c r="O108" s="143"/>
      <c r="P108" s="167">
        <f t="shared" si="44"/>
        <v>0.41333883711359204</v>
      </c>
      <c r="Q108" s="25">
        <f t="shared" si="45"/>
        <v>4.2996154121040222</v>
      </c>
      <c r="R108" s="25">
        <f t="shared" si="46"/>
        <v>36.769525668489152</v>
      </c>
      <c r="S108" s="31"/>
      <c r="T108" s="25">
        <f t="shared" si="47"/>
        <v>0.41333883711359204</v>
      </c>
      <c r="U108" s="25">
        <f t="shared" si="48"/>
        <v>4.2996154121040222</v>
      </c>
      <c r="V108" s="25">
        <f t="shared" si="49"/>
        <v>36.769525668489152</v>
      </c>
      <c r="W108" s="31"/>
      <c r="X108" s="31"/>
      <c r="Y108" s="116"/>
      <c r="Z108" s="100"/>
      <c r="AA108" s="25"/>
      <c r="AB108" s="25"/>
      <c r="AC108" s="25"/>
      <c r="AD108" s="25"/>
      <c r="AE108" s="25"/>
    </row>
    <row r="109" spans="1:31" x14ac:dyDescent="0.3">
      <c r="A109" s="113"/>
      <c r="B109" s="327"/>
      <c r="C109" s="141" t="s">
        <v>279</v>
      </c>
      <c r="D109" s="265">
        <f t="shared" si="43"/>
        <v>4.7160052320213636E-3</v>
      </c>
      <c r="E109" s="176">
        <f t="shared" si="41"/>
        <v>2.4276442826853564E-2</v>
      </c>
      <c r="F109" s="176">
        <f t="shared" si="41"/>
        <v>4.5341541328431136E-2</v>
      </c>
      <c r="G109" s="176">
        <f t="shared" si="41"/>
        <v>5.4991900205160246E-2</v>
      </c>
      <c r="H109" s="176">
        <f t="shared" si="41"/>
        <v>4.7362163357349387E-3</v>
      </c>
      <c r="I109" s="176">
        <f t="shared" si="41"/>
        <v>2.4320418763689778E-2</v>
      </c>
      <c r="J109" s="176">
        <f t="shared" si="41"/>
        <v>4.4440398954710851E-2</v>
      </c>
      <c r="K109" s="176">
        <f t="shared" si="41"/>
        <v>5.3832075394532268E-2</v>
      </c>
      <c r="L109" s="73"/>
      <c r="M109" s="178"/>
      <c r="N109" s="141"/>
      <c r="O109" s="143"/>
      <c r="P109" s="167">
        <f t="shared" si="44"/>
        <v>1.7213419096877978</v>
      </c>
      <c r="Q109" s="25">
        <f t="shared" si="45"/>
        <v>8.8609016318015499</v>
      </c>
      <c r="R109" s="25">
        <f t="shared" si="46"/>
        <v>16.549662584877364</v>
      </c>
      <c r="S109" s="25">
        <f>G109*365</f>
        <v>20.072043574883491</v>
      </c>
      <c r="T109" s="25">
        <f t="shared" si="47"/>
        <v>1.7287189625432526</v>
      </c>
      <c r="U109" s="25">
        <f t="shared" si="48"/>
        <v>8.8769528487467682</v>
      </c>
      <c r="V109" s="25">
        <f t="shared" si="49"/>
        <v>16.220745618469461</v>
      </c>
      <c r="W109" s="25">
        <f>K109*365</f>
        <v>19.648707519004279</v>
      </c>
      <c r="X109" s="31"/>
      <c r="Y109" s="116"/>
      <c r="Z109" s="100"/>
      <c r="AA109" s="25"/>
      <c r="AB109" s="25"/>
      <c r="AC109" s="25"/>
      <c r="AD109" s="25"/>
      <c r="AE109" s="25"/>
    </row>
    <row r="110" spans="1:31" x14ac:dyDescent="0.3">
      <c r="A110" s="113"/>
      <c r="B110" s="327"/>
      <c r="C110" s="141" t="s">
        <v>272</v>
      </c>
      <c r="D110" s="265">
        <f t="shared" si="43"/>
        <v>3.4656144221690724E-3</v>
      </c>
      <c r="E110" s="176">
        <f t="shared" si="41"/>
        <v>1.2664899402044025E-2</v>
      </c>
      <c r="F110" s="176">
        <f t="shared" si="41"/>
        <v>1.7006392920851078E-2</v>
      </c>
      <c r="G110" s="73"/>
      <c r="H110" s="176">
        <f t="shared" si="41"/>
        <v>3.2109821015074251E-3</v>
      </c>
      <c r="I110" s="176">
        <f t="shared" si="41"/>
        <v>1.2240007107386623E-2</v>
      </c>
      <c r="J110" s="176">
        <f t="shared" si="41"/>
        <v>1.7006392920851078E-2</v>
      </c>
      <c r="K110" s="73"/>
      <c r="L110" s="73"/>
      <c r="M110" s="178"/>
      <c r="N110" s="141"/>
      <c r="O110" s="143"/>
      <c r="P110" s="167">
        <f t="shared" si="44"/>
        <v>1.2649492640917115</v>
      </c>
      <c r="Q110" s="25">
        <f t="shared" si="45"/>
        <v>4.6226882817460693</v>
      </c>
      <c r="R110" s="25">
        <f t="shared" si="46"/>
        <v>6.2073334161106439</v>
      </c>
      <c r="S110" s="31"/>
      <c r="T110" s="25">
        <f t="shared" si="47"/>
        <v>1.1720084670502102</v>
      </c>
      <c r="U110" s="25">
        <f t="shared" si="48"/>
        <v>4.4676025941961175</v>
      </c>
      <c r="V110" s="25">
        <f t="shared" si="49"/>
        <v>6.2073334161106439</v>
      </c>
      <c r="W110" s="31"/>
      <c r="X110" s="31"/>
      <c r="Y110" s="116"/>
      <c r="Z110" s="100"/>
      <c r="AA110" s="25"/>
      <c r="AB110" s="25"/>
      <c r="AC110" s="25"/>
      <c r="AD110" s="25"/>
      <c r="AE110" s="25"/>
    </row>
    <row r="111" spans="1:31" x14ac:dyDescent="0.3">
      <c r="A111" s="113"/>
      <c r="B111" s="327"/>
      <c r="C111" s="141" t="s">
        <v>269</v>
      </c>
      <c r="D111" s="265">
        <f t="shared" si="43"/>
        <v>1.4176988289958756E-2</v>
      </c>
      <c r="E111" s="176">
        <f t="shared" si="41"/>
        <v>1.5099303910424149E-2</v>
      </c>
      <c r="F111" s="176">
        <f t="shared" si="41"/>
        <v>3.7457113057532028E-2</v>
      </c>
      <c r="G111" s="73"/>
      <c r="H111" s="176">
        <f t="shared" si="41"/>
        <v>1.33951293774395E-2</v>
      </c>
      <c r="I111" s="176">
        <f t="shared" si="41"/>
        <v>1.7945784106621596E-2</v>
      </c>
      <c r="J111" s="176">
        <f t="shared" si="41"/>
        <v>3.7457113057532028E-2</v>
      </c>
      <c r="K111" s="73"/>
      <c r="L111" s="73"/>
      <c r="M111" s="178"/>
      <c r="N111" s="141"/>
      <c r="O111" s="143"/>
      <c r="P111" s="167">
        <f t="shared" si="44"/>
        <v>5.1746007258349458</v>
      </c>
      <c r="Q111" s="25">
        <f t="shared" si="45"/>
        <v>5.511245927304814</v>
      </c>
      <c r="R111" s="25">
        <f t="shared" si="46"/>
        <v>13.671846265999191</v>
      </c>
      <c r="S111" s="31"/>
      <c r="T111" s="25">
        <f t="shared" si="47"/>
        <v>4.8892222227654178</v>
      </c>
      <c r="U111" s="25">
        <f t="shared" si="48"/>
        <v>6.550211198916883</v>
      </c>
      <c r="V111" s="25">
        <f t="shared" si="49"/>
        <v>13.671846265999191</v>
      </c>
      <c r="W111" s="31"/>
      <c r="X111" s="31"/>
      <c r="Y111" s="116"/>
      <c r="Z111" s="100"/>
      <c r="AA111" s="25"/>
      <c r="AB111" s="25"/>
      <c r="AC111" s="25"/>
      <c r="AD111" s="25"/>
      <c r="AE111" s="25"/>
    </row>
    <row r="112" spans="1:31" x14ac:dyDescent="0.3">
      <c r="A112" s="113"/>
      <c r="B112" s="327"/>
      <c r="C112" s="141" t="s">
        <v>280</v>
      </c>
      <c r="D112" s="265">
        <f t="shared" si="43"/>
        <v>8.3745173129142394E-3</v>
      </c>
      <c r="E112" s="176">
        <f t="shared" si="41"/>
        <v>2.006973306135762E-2</v>
      </c>
      <c r="F112" s="176">
        <f t="shared" si="41"/>
        <v>7.076550559510017E-2</v>
      </c>
      <c r="G112" s="73"/>
      <c r="H112" s="176">
        <f t="shared" si="41"/>
        <v>7.8981687567618378E-3</v>
      </c>
      <c r="I112" s="176">
        <f t="shared" si="41"/>
        <v>1.7448132305836531E-2</v>
      </c>
      <c r="J112" s="176">
        <f t="shared" si="41"/>
        <v>7.1335899736127431E-2</v>
      </c>
      <c r="K112" s="73"/>
      <c r="L112" s="73"/>
      <c r="M112" s="178"/>
      <c r="N112" s="141"/>
      <c r="O112" s="143"/>
      <c r="P112" s="167">
        <f t="shared" si="44"/>
        <v>3.0566988192136972</v>
      </c>
      <c r="Q112" s="25">
        <f t="shared" si="45"/>
        <v>7.3254525673955309</v>
      </c>
      <c r="R112" s="25">
        <f t="shared" si="46"/>
        <v>25.829409542211561</v>
      </c>
      <c r="S112" s="31"/>
      <c r="T112" s="25">
        <f t="shared" si="47"/>
        <v>2.8828315962180708</v>
      </c>
      <c r="U112" s="25">
        <f t="shared" si="48"/>
        <v>6.3685682916303339</v>
      </c>
      <c r="V112" s="25">
        <f t="shared" si="49"/>
        <v>26.037603403686511</v>
      </c>
      <c r="W112" s="31"/>
      <c r="X112" s="31"/>
      <c r="Y112" s="116"/>
      <c r="Z112" s="100"/>
      <c r="AA112" s="25"/>
      <c r="AB112" s="25"/>
      <c r="AC112" s="25"/>
      <c r="AD112" s="25"/>
      <c r="AE112" s="25"/>
    </row>
    <row r="113" spans="1:31" x14ac:dyDescent="0.3">
      <c r="A113" s="113"/>
      <c r="B113" s="327"/>
      <c r="C113" s="141" t="s">
        <v>31</v>
      </c>
      <c r="D113" s="265">
        <f t="shared" si="43"/>
        <v>4.5651956041450182E-4</v>
      </c>
      <c r="E113" s="176">
        <f t="shared" si="43"/>
        <v>3.7037441908631522E-3</v>
      </c>
      <c r="F113" s="73"/>
      <c r="G113" s="73"/>
      <c r="H113" s="176">
        <f t="shared" ref="H113:I114" si="52">(T93*$D$53)/1000</f>
        <v>4.2388495304250854E-4</v>
      </c>
      <c r="I113" s="176">
        <f t="shared" si="52"/>
        <v>3.5310220354529366E-3</v>
      </c>
      <c r="J113" s="73"/>
      <c r="K113" s="73"/>
      <c r="L113" s="73"/>
      <c r="M113" s="178"/>
      <c r="N113" s="141"/>
      <c r="O113" s="143"/>
      <c r="P113" s="167">
        <f>D113*365</f>
        <v>0.16662963955129317</v>
      </c>
      <c r="Q113" s="25">
        <f>E113*365</f>
        <v>1.3518666296650506</v>
      </c>
      <c r="R113" s="31"/>
      <c r="S113" s="31"/>
      <c r="T113" s="25">
        <f t="shared" ref="T113:U114" si="53">H113*365</f>
        <v>0.15471800786051562</v>
      </c>
      <c r="U113" s="25">
        <f t="shared" si="53"/>
        <v>1.2888230429403218</v>
      </c>
      <c r="V113" s="31"/>
      <c r="W113" s="31"/>
      <c r="X113" s="31"/>
      <c r="Y113" s="116"/>
      <c r="Z113" s="100"/>
      <c r="AA113" s="25"/>
      <c r="AB113" s="25"/>
      <c r="AC113" s="25"/>
      <c r="AD113" s="25"/>
      <c r="AE113" s="25"/>
    </row>
    <row r="114" spans="1:31" ht="15" thickBot="1" x14ac:dyDescent="0.35">
      <c r="A114" s="113"/>
      <c r="B114" s="327"/>
      <c r="C114" s="146" t="s">
        <v>271</v>
      </c>
      <c r="D114" s="267">
        <f t="shared" si="43"/>
        <v>3.6451450135273691E-3</v>
      </c>
      <c r="E114" s="181">
        <f t="shared" si="43"/>
        <v>1.0786760716663402E-2</v>
      </c>
      <c r="F114" s="159"/>
      <c r="G114" s="159"/>
      <c r="H114" s="181">
        <f t="shared" si="52"/>
        <v>3.427731274404914E-3</v>
      </c>
      <c r="I114" s="181">
        <f t="shared" si="52"/>
        <v>1.1694087672276041E-2</v>
      </c>
      <c r="J114" s="159"/>
      <c r="K114" s="159"/>
      <c r="L114" s="159"/>
      <c r="M114" s="182"/>
      <c r="N114" s="146"/>
      <c r="O114" s="148"/>
      <c r="P114" s="172">
        <f>D114*365</f>
        <v>1.3304779299374898</v>
      </c>
      <c r="Q114" s="173">
        <f>E114*365</f>
        <v>3.9371676615821416</v>
      </c>
      <c r="R114" s="132"/>
      <c r="S114" s="132"/>
      <c r="T114" s="173">
        <f t="shared" si="53"/>
        <v>1.2511219151577937</v>
      </c>
      <c r="U114" s="173">
        <f t="shared" si="53"/>
        <v>4.2683420003807546</v>
      </c>
      <c r="V114" s="132"/>
      <c r="W114" s="132"/>
      <c r="X114" s="132"/>
      <c r="Y114" s="133"/>
      <c r="Z114" s="100"/>
      <c r="AA114" s="25"/>
      <c r="AB114" s="25"/>
      <c r="AC114" s="25"/>
      <c r="AD114" s="25"/>
      <c r="AE114" s="25"/>
    </row>
    <row r="115" spans="1:31" ht="15" thickBot="1" x14ac:dyDescent="0.35">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2"/>
      <c r="AA115" s="4"/>
      <c r="AB115" s="4"/>
      <c r="AC115" s="4"/>
      <c r="AD115" s="4"/>
    </row>
  </sheetData>
  <mergeCells count="59">
    <mergeCell ref="N6:U6"/>
    <mergeCell ref="C2:U2"/>
    <mergeCell ref="D3:G3"/>
    <mergeCell ref="N3:U4"/>
    <mergeCell ref="N5:U5"/>
    <mergeCell ref="H3:M3"/>
    <mergeCell ref="N18:U18"/>
    <mergeCell ref="N7:U7"/>
    <mergeCell ref="N8:U8"/>
    <mergeCell ref="N9:U9"/>
    <mergeCell ref="N11:U11"/>
    <mergeCell ref="N12:U12"/>
    <mergeCell ref="N13:U13"/>
    <mergeCell ref="N14:U14"/>
    <mergeCell ref="N10:U10"/>
    <mergeCell ref="N15:U15"/>
    <mergeCell ref="N16:U16"/>
    <mergeCell ref="N17:U17"/>
    <mergeCell ref="N30:U30"/>
    <mergeCell ref="N19:U19"/>
    <mergeCell ref="N20:U20"/>
    <mergeCell ref="N22:U22"/>
    <mergeCell ref="N23:U23"/>
    <mergeCell ref="N24:U24"/>
    <mergeCell ref="N25:U25"/>
    <mergeCell ref="N26:U26"/>
    <mergeCell ref="N27:U27"/>
    <mergeCell ref="N28:U28"/>
    <mergeCell ref="N29:U29"/>
    <mergeCell ref="N21:U21"/>
    <mergeCell ref="A37:A42"/>
    <mergeCell ref="AL38:AR38"/>
    <mergeCell ref="AB39:AH39"/>
    <mergeCell ref="B41:B51"/>
    <mergeCell ref="P42:S42"/>
    <mergeCell ref="P43:S43"/>
    <mergeCell ref="C32:C33"/>
    <mergeCell ref="D32:G32"/>
    <mergeCell ref="B34:B38"/>
    <mergeCell ref="C55:C56"/>
    <mergeCell ref="D55:G55"/>
    <mergeCell ref="N55:O56"/>
    <mergeCell ref="P55:S55"/>
    <mergeCell ref="H32:M32"/>
    <mergeCell ref="H55:M55"/>
    <mergeCell ref="O33:Y33"/>
    <mergeCell ref="O34:Y34"/>
    <mergeCell ref="T55:Y55"/>
    <mergeCell ref="N95:O96"/>
    <mergeCell ref="B97:B101"/>
    <mergeCell ref="A100:A105"/>
    <mergeCell ref="B104:B114"/>
    <mergeCell ref="B57:B61"/>
    <mergeCell ref="A60:A65"/>
    <mergeCell ref="B64:B74"/>
    <mergeCell ref="N75:O76"/>
    <mergeCell ref="B77:B81"/>
    <mergeCell ref="A80:A85"/>
    <mergeCell ref="B84:B9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zoomScale="90" zoomScaleNormal="90" workbookViewId="0"/>
  </sheetViews>
  <sheetFormatPr defaultRowHeight="14.4" x14ac:dyDescent="0.3"/>
  <cols>
    <col min="1" max="1" width="26.77734375" bestFit="1" customWidth="1"/>
    <col min="2" max="2" width="15.77734375" style="129" customWidth="1"/>
    <col min="3" max="4" width="12" style="129" bestFit="1" customWidth="1"/>
    <col min="5" max="5" width="9.21875" style="129"/>
    <col min="6" max="6" width="23.77734375" bestFit="1" customWidth="1"/>
  </cols>
  <sheetData>
    <row r="1" spans="1:6" x14ac:dyDescent="0.3">
      <c r="A1" s="26" t="s">
        <v>298</v>
      </c>
      <c r="B1" s="372" t="s">
        <v>174</v>
      </c>
      <c r="C1" s="371" t="s">
        <v>190</v>
      </c>
      <c r="D1" s="371"/>
      <c r="E1" s="371"/>
      <c r="F1" s="26"/>
    </row>
    <row r="2" spans="1:6" x14ac:dyDescent="0.3">
      <c r="A2" s="117" t="s">
        <v>168</v>
      </c>
      <c r="B2" s="372"/>
      <c r="C2" s="81" t="s">
        <v>169</v>
      </c>
      <c r="D2" s="81" t="s">
        <v>170</v>
      </c>
      <c r="E2" s="81" t="s">
        <v>171</v>
      </c>
      <c r="F2" s="117" t="s">
        <v>172</v>
      </c>
    </row>
    <row r="3" spans="1:6" x14ac:dyDescent="0.3">
      <c r="A3" s="143" t="s">
        <v>166</v>
      </c>
      <c r="B3" s="92">
        <v>54</v>
      </c>
      <c r="C3" s="195">
        <v>9.1000000000000004E-3</v>
      </c>
      <c r="D3" s="195">
        <v>3.28</v>
      </c>
      <c r="E3" s="92">
        <v>1</v>
      </c>
      <c r="F3" s="26" t="s">
        <v>161</v>
      </c>
    </row>
    <row r="4" spans="1:6" x14ac:dyDescent="0.3">
      <c r="A4" s="143" t="s">
        <v>167</v>
      </c>
      <c r="B4" s="92">
        <v>35</v>
      </c>
      <c r="C4" s="195">
        <v>1.7687478E-2</v>
      </c>
      <c r="D4" s="195">
        <v>2.9610674459999999</v>
      </c>
      <c r="E4" s="92">
        <v>1</v>
      </c>
      <c r="F4" s="26" t="s">
        <v>161</v>
      </c>
    </row>
    <row r="5" spans="1:6" x14ac:dyDescent="0.3">
      <c r="A5" s="143" t="s">
        <v>127</v>
      </c>
      <c r="B5" s="92">
        <v>75</v>
      </c>
      <c r="C5" s="195">
        <v>1.61E-2</v>
      </c>
      <c r="D5" s="195">
        <v>3.05</v>
      </c>
      <c r="E5" s="92">
        <v>1</v>
      </c>
      <c r="F5" s="26" t="s">
        <v>162</v>
      </c>
    </row>
    <row r="6" spans="1:6" x14ac:dyDescent="0.3">
      <c r="A6" s="143" t="s">
        <v>160</v>
      </c>
      <c r="B6" s="92">
        <v>80</v>
      </c>
      <c r="C6" s="195">
        <v>2.76E-2</v>
      </c>
      <c r="D6" s="195">
        <v>2.92</v>
      </c>
      <c r="E6" s="92">
        <v>1</v>
      </c>
      <c r="F6" s="26" t="s">
        <v>161</v>
      </c>
    </row>
    <row r="7" spans="1:6" x14ac:dyDescent="0.3">
      <c r="A7" s="143"/>
      <c r="B7" s="92"/>
      <c r="C7" s="195"/>
      <c r="D7" s="195"/>
      <c r="E7" s="92"/>
      <c r="F7" s="26"/>
    </row>
    <row r="8" spans="1:6" x14ac:dyDescent="0.3">
      <c r="A8" s="143" t="s">
        <v>128</v>
      </c>
      <c r="B8" s="92">
        <v>40</v>
      </c>
      <c r="C8" s="195">
        <v>1.413E-2</v>
      </c>
      <c r="D8" s="195">
        <v>3.04</v>
      </c>
      <c r="E8" s="92">
        <v>1</v>
      </c>
      <c r="F8" s="26" t="s">
        <v>163</v>
      </c>
    </row>
    <row r="9" spans="1:6" x14ac:dyDescent="0.3">
      <c r="A9" s="143" t="s">
        <v>129</v>
      </c>
      <c r="B9" s="92">
        <v>31</v>
      </c>
      <c r="C9" s="195">
        <v>1.413E-2</v>
      </c>
      <c r="D9" s="195">
        <v>3.04</v>
      </c>
      <c r="E9" s="92">
        <v>1</v>
      </c>
      <c r="F9" s="26" t="s">
        <v>173</v>
      </c>
    </row>
    <row r="10" spans="1:6" x14ac:dyDescent="0.3">
      <c r="A10" s="143" t="s">
        <v>7</v>
      </c>
      <c r="B10" s="92">
        <v>40</v>
      </c>
      <c r="C10" s="195">
        <v>2.011839E-2</v>
      </c>
      <c r="D10" s="195">
        <v>3.059482327</v>
      </c>
      <c r="E10" s="92">
        <v>1</v>
      </c>
      <c r="F10" s="26" t="s">
        <v>161</v>
      </c>
    </row>
    <row r="11" spans="1:6" x14ac:dyDescent="0.3">
      <c r="A11" s="143" t="s">
        <v>8</v>
      </c>
      <c r="B11" s="92">
        <v>70</v>
      </c>
      <c r="C11" s="195">
        <v>2.1733720000000002E-2</v>
      </c>
      <c r="D11" s="195">
        <v>3.0127283170000001</v>
      </c>
      <c r="E11" s="92">
        <v>1</v>
      </c>
      <c r="F11" s="26" t="s">
        <v>162</v>
      </c>
    </row>
    <row r="12" spans="1:6" x14ac:dyDescent="0.3">
      <c r="A12" s="143" t="s">
        <v>72</v>
      </c>
      <c r="B12" s="92">
        <v>30</v>
      </c>
      <c r="C12" s="195">
        <v>1.413E-2</v>
      </c>
      <c r="D12" s="195">
        <v>3.04</v>
      </c>
      <c r="E12" s="92">
        <v>1</v>
      </c>
      <c r="F12" s="26" t="s">
        <v>162</v>
      </c>
    </row>
    <row r="13" spans="1:6" x14ac:dyDescent="0.3">
      <c r="A13" s="143"/>
      <c r="B13" s="92"/>
      <c r="C13" s="195"/>
      <c r="D13" s="195"/>
      <c r="E13" s="92"/>
      <c r="F13" s="26"/>
    </row>
    <row r="14" spans="1:6" x14ac:dyDescent="0.3">
      <c r="A14" s="143" t="s">
        <v>130</v>
      </c>
      <c r="B14" s="92">
        <v>50</v>
      </c>
      <c r="C14" s="195">
        <v>1.4449999999999999E-2</v>
      </c>
      <c r="D14" s="195">
        <v>3.04</v>
      </c>
      <c r="E14" s="92">
        <v>1</v>
      </c>
      <c r="F14" s="26" t="s">
        <v>162</v>
      </c>
    </row>
    <row r="15" spans="1:6" x14ac:dyDescent="0.3">
      <c r="A15" s="143" t="s">
        <v>131</v>
      </c>
      <c r="B15" s="92">
        <v>60</v>
      </c>
      <c r="C15" s="195">
        <v>1.4449999999999999E-2</v>
      </c>
      <c r="D15" s="195">
        <v>3.04</v>
      </c>
      <c r="E15" s="92">
        <v>1</v>
      </c>
      <c r="F15" s="26" t="s">
        <v>162</v>
      </c>
    </row>
    <row r="16" spans="1:6" x14ac:dyDescent="0.3">
      <c r="A16" s="143" t="s">
        <v>46</v>
      </c>
      <c r="B16" s="92">
        <v>41</v>
      </c>
      <c r="C16" s="195">
        <v>1.4449999999999999E-2</v>
      </c>
      <c r="D16" s="195">
        <v>3.04</v>
      </c>
      <c r="E16" s="92">
        <v>1</v>
      </c>
      <c r="F16" s="26" t="s">
        <v>162</v>
      </c>
    </row>
    <row r="17" spans="1:6" x14ac:dyDescent="0.3">
      <c r="A17" s="143" t="s">
        <v>132</v>
      </c>
      <c r="B17" s="92">
        <v>45</v>
      </c>
      <c r="C17" s="195">
        <v>1.04E-2</v>
      </c>
      <c r="D17" s="195">
        <v>3.24</v>
      </c>
      <c r="E17" s="92">
        <v>1</v>
      </c>
      <c r="F17" s="26" t="s">
        <v>161</v>
      </c>
    </row>
    <row r="18" spans="1:6" x14ac:dyDescent="0.3">
      <c r="A18" s="143" t="s">
        <v>30</v>
      </c>
      <c r="B18" s="92">
        <v>47</v>
      </c>
      <c r="C18" s="195">
        <v>1.8890000000000001E-2</v>
      </c>
      <c r="D18" s="195">
        <v>3.06</v>
      </c>
      <c r="E18" s="92">
        <v>1</v>
      </c>
      <c r="F18" s="26" t="s">
        <v>161</v>
      </c>
    </row>
    <row r="19" spans="1:6" x14ac:dyDescent="0.3">
      <c r="A19" s="143" t="s">
        <v>32</v>
      </c>
      <c r="B19" s="92">
        <v>90</v>
      </c>
      <c r="C19" s="195">
        <v>1.5696133000000001E-2</v>
      </c>
      <c r="D19" s="195">
        <v>3.0167379250000002</v>
      </c>
      <c r="E19" s="92">
        <v>1</v>
      </c>
      <c r="F19" s="26" t="s">
        <v>161</v>
      </c>
    </row>
    <row r="20" spans="1:6" x14ac:dyDescent="0.3">
      <c r="A20" s="143" t="s">
        <v>33</v>
      </c>
      <c r="B20" s="92">
        <v>45</v>
      </c>
      <c r="C20" s="195">
        <v>1.6199999999999999E-2</v>
      </c>
      <c r="D20" s="195">
        <v>3.09</v>
      </c>
      <c r="E20" s="92">
        <v>1</v>
      </c>
      <c r="F20" s="26" t="s">
        <v>161</v>
      </c>
    </row>
    <row r="21" spans="1:6" x14ac:dyDescent="0.3">
      <c r="A21" s="143" t="s">
        <v>25</v>
      </c>
      <c r="B21" s="92">
        <v>40</v>
      </c>
      <c r="C21" s="195">
        <v>2.4135631000000001E-2</v>
      </c>
      <c r="D21" s="195">
        <v>3.1477532410000002</v>
      </c>
      <c r="E21" s="92">
        <v>0.79400000000000004</v>
      </c>
      <c r="F21" s="26" t="s">
        <v>161</v>
      </c>
    </row>
    <row r="22" spans="1:6" x14ac:dyDescent="0.3">
      <c r="A22" s="143" t="s">
        <v>164</v>
      </c>
      <c r="B22" s="92">
        <v>70</v>
      </c>
      <c r="C22" s="195">
        <v>7.9399999999999991E-3</v>
      </c>
      <c r="D22" s="195">
        <v>3.11</v>
      </c>
      <c r="E22" s="92">
        <v>1</v>
      </c>
      <c r="F22" s="26" t="s">
        <v>163</v>
      </c>
    </row>
    <row r="23" spans="1:6" x14ac:dyDescent="0.3">
      <c r="A23" s="143" t="s">
        <v>31</v>
      </c>
      <c r="B23" s="92">
        <v>34</v>
      </c>
      <c r="C23" s="195">
        <v>2.2858218E-2</v>
      </c>
      <c r="D23" s="195">
        <v>2.9625899420000001</v>
      </c>
      <c r="E23" s="92">
        <v>1</v>
      </c>
      <c r="F23" s="26" t="s">
        <v>161</v>
      </c>
    </row>
    <row r="24" spans="1:6" x14ac:dyDescent="0.3">
      <c r="A24" s="143" t="s">
        <v>20</v>
      </c>
      <c r="B24" s="92">
        <v>70</v>
      </c>
      <c r="C24" s="195">
        <v>1.14E-2</v>
      </c>
      <c r="D24" s="195">
        <v>3.18</v>
      </c>
      <c r="E24" s="92">
        <v>1</v>
      </c>
      <c r="F24" s="26" t="s">
        <v>161</v>
      </c>
    </row>
    <row r="25" spans="1:6" x14ac:dyDescent="0.3">
      <c r="A25" s="143" t="s">
        <v>165</v>
      </c>
      <c r="B25" s="92">
        <v>51</v>
      </c>
      <c r="C25" s="195">
        <v>1.4449999999999999E-2</v>
      </c>
      <c r="D25" s="195">
        <v>3.04</v>
      </c>
      <c r="E25" s="92">
        <v>1</v>
      </c>
      <c r="F25" s="26" t="s">
        <v>162</v>
      </c>
    </row>
    <row r="26" spans="1:6" x14ac:dyDescent="0.3">
      <c r="A26" s="143" t="s">
        <v>134</v>
      </c>
      <c r="B26" s="92">
        <v>37</v>
      </c>
      <c r="C26" s="195">
        <v>2.7799999999999998E-2</v>
      </c>
      <c r="D26" s="195">
        <v>2.8570000000000002</v>
      </c>
      <c r="E26" s="92">
        <v>1</v>
      </c>
      <c r="F26" s="26" t="s">
        <v>162</v>
      </c>
    </row>
    <row r="27" spans="1:6" x14ac:dyDescent="0.3">
      <c r="A27" s="143" t="s">
        <v>135</v>
      </c>
      <c r="B27" s="92">
        <v>26.6</v>
      </c>
      <c r="C27" s="195">
        <v>2.29E-2</v>
      </c>
      <c r="D27" s="195">
        <v>3.1059999999999999</v>
      </c>
      <c r="E27" s="92">
        <v>0.877</v>
      </c>
      <c r="F27" s="26" t="s">
        <v>161</v>
      </c>
    </row>
    <row r="28" spans="1:6" x14ac:dyDescent="0.3">
      <c r="A28" s="143" t="s">
        <v>136</v>
      </c>
      <c r="B28" s="92">
        <v>45</v>
      </c>
      <c r="C28" s="195">
        <v>1.4449999999999999E-2</v>
      </c>
      <c r="D28" s="195">
        <v>3.04</v>
      </c>
      <c r="E28" s="92">
        <v>1</v>
      </c>
      <c r="F28" s="26" t="s">
        <v>161</v>
      </c>
    </row>
    <row r="31" spans="1:6" x14ac:dyDescent="0.3">
      <c r="A31" s="196" t="s">
        <v>194</v>
      </c>
      <c r="B31"/>
      <c r="C31"/>
    </row>
    <row r="32" spans="1:6" ht="16.2" x14ac:dyDescent="0.3">
      <c r="B32" s="196" t="s">
        <v>193</v>
      </c>
    </row>
    <row r="33" spans="1:6" x14ac:dyDescent="0.3">
      <c r="A33" s="196"/>
      <c r="B33"/>
      <c r="C33"/>
    </row>
    <row r="34" spans="1:6" ht="75" customHeight="1" x14ac:dyDescent="0.3">
      <c r="A34" s="373" t="s">
        <v>195</v>
      </c>
      <c r="B34" s="373"/>
      <c r="C34" s="373"/>
      <c r="D34" s="373"/>
      <c r="E34" s="373"/>
      <c r="F34" s="373"/>
    </row>
    <row r="35" spans="1:6" x14ac:dyDescent="0.3">
      <c r="A35" s="196"/>
    </row>
  </sheetData>
  <sortState xmlns:xlrd2="http://schemas.microsoft.com/office/spreadsheetml/2017/richdata2" ref="A2:G24">
    <sortCondition ref="A2:A24"/>
  </sortState>
  <mergeCells count="3">
    <mergeCell ref="C1:E1"/>
    <mergeCell ref="B1:B2"/>
    <mergeCell ref="A34:F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Bite rates</vt:lpstr>
      <vt:lpstr>Scar volume</vt:lpstr>
      <vt:lpstr>Proportion leaving scars</vt:lpstr>
      <vt:lpstr>Equations</vt:lpstr>
      <vt:lpstr>Biomass length-weight relation</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 Ines</dc:creator>
  <cp:lastModifiedBy>Perry, Chris</cp:lastModifiedBy>
  <dcterms:created xsi:type="dcterms:W3CDTF">2018-04-16T14:58:08Z</dcterms:created>
  <dcterms:modified xsi:type="dcterms:W3CDTF">2023-04-21T08:43:59Z</dcterms:modified>
</cp:coreProperties>
</file>