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hidePivotFieldList="1" defaultThemeVersion="124226"/>
  <mc:AlternateContent xmlns:mc="http://schemas.openxmlformats.org/markup-compatibility/2006">
    <mc:Choice Requires="x15">
      <x15ac:absPath xmlns:x15ac="http://schemas.microsoft.com/office/spreadsheetml/2010/11/ac" url="https://universityofexeteruk-my.sharepoint.com/personal/fh392_exeter_ac_uk/Documents/Documents/SedBudgetDevolpment/Final Versions/Templates/"/>
    </mc:Choice>
  </mc:AlternateContent>
  <xr:revisionPtr revIDLastSave="132" documentId="8_{25EFD081-6748-44CB-AD3A-202255EC73EB}" xr6:coauthVersionLast="47" xr6:coauthVersionMax="47" xr10:uidLastSave="{7F1E0085-56F6-4968-80DE-785F103929A6}"/>
  <bookViews>
    <workbookView xWindow="-120" yWindow="-120" windowWidth="29040" windowHeight="15720" tabRatio="850" xr2:uid="{00000000-000D-0000-FFFF-FFFF00000000}"/>
  </bookViews>
  <sheets>
    <sheet name="Overview" sheetId="5" r:id="rId1"/>
    <sheet name="Transect Summary" sheetId="58" r:id="rId2"/>
    <sheet name="Substrate" sheetId="42" r:id="rId3"/>
    <sheet name="Urchins Bioerosion" sheetId="71" r:id="rId4"/>
    <sheet name="Urchins Skeletal" sheetId="77" r:id="rId5"/>
    <sheet name="Endolithic Sponges" sheetId="81" r:id="rId6"/>
    <sheet name="Articulated Coralline Alage" sheetId="83" r:id="rId7"/>
    <sheet name="ACA metrics" sheetId="67" r:id="rId8"/>
    <sheet name="Halimeda" sheetId="74" r:id="rId9"/>
    <sheet name="Halimeda metrics" sheetId="21" r:id="rId10"/>
    <sheet name="Penicillus" sheetId="47" r:id="rId11"/>
    <sheet name="Penicillus metrics" sheetId="48" r:id="rId12"/>
    <sheet name="Udotea" sheetId="49" r:id="rId13"/>
    <sheet name="Udotea metrics" sheetId="50" r:id="rId14"/>
    <sheet name="Rhipocephalus" sheetId="62" r:id="rId15"/>
    <sheet name="Rhipocephalus metrics" sheetId="63" r:id="rId16"/>
    <sheet name="Acetabularia" sheetId="64" r:id="rId17"/>
    <sheet name="Acetabularia metrics" sheetId="68" r:id="rId18"/>
    <sheet name="Bivalves" sheetId="29" r:id="rId19"/>
    <sheet name="Gastropods" sheetId="30" r:id="rId20"/>
    <sheet name="Benthic Foraminifera" sheetId="84" r:id="rId21"/>
    <sheet name="Seagrass Epibionts" sheetId="22" r:id="rId22"/>
    <sheet name="Seagrass metrics" sheetId="31" r:id="rId23"/>
    <sheet name="Brittle stars" sheetId="80" r:id="rId24"/>
    <sheet name="Brittle star metrics" sheetId="85" r:id="rId25"/>
    <sheet name="Grain Constituent Metrics" sheetId="86" r:id="rId26"/>
  </sheets>
  <externalReferences>
    <externalReference r:id="rId27"/>
    <externalReference r:id="rId28"/>
    <externalReference r:id="rId29"/>
  </externalReferences>
  <definedNames>
    <definedName name="ACA_growth_rates">#REF!</definedName>
    <definedName name="ACAGrain" localSheetId="6">'[1]Amphiroa metrics'!#REF!</definedName>
    <definedName name="ACAGrain" localSheetId="25">'[2]ACA metrics'!#REF!</definedName>
    <definedName name="ACAGrain">'ACA metrics'!#REF!</definedName>
    <definedName name="ACAGrowth" localSheetId="6">'[1]Amphiroa metrics'!#REF!</definedName>
    <definedName name="ACAGrowth" localSheetId="25">'[2]ACA metrics'!#REF!</definedName>
    <definedName name="ACAGrowth">'ACA metrics'!#REF!</definedName>
    <definedName name="ACAGrowthRates" localSheetId="6">'[1]Amphiroa metrics'!#REF!</definedName>
    <definedName name="ACAGrowthRates" localSheetId="25">'[2]ACA metrics'!#REF!</definedName>
    <definedName name="ACAGrowthRates">'ACA metrics'!#REF!</definedName>
    <definedName name="BenthicData">'Transect Summary'!$B$4:$K$5</definedName>
    <definedName name="GrainTypeMetrics">'Grain Constituent Metrics'!$A$3:$L$18</definedName>
    <definedName name="HalimedaInitialMetrics" localSheetId="8">Halimeda!$C$11:$M$18</definedName>
    <definedName name="HalimedaInitialMetrics">[3]LC1!$C$11:$M$17</definedName>
    <definedName name="SpeciesCarb" localSheetId="6">'[1]Amphiroa metrics'!#REF!</definedName>
    <definedName name="SpeciesCarb" localSheetId="25">'[2]ACA metrics'!#REF!</definedName>
    <definedName name="SpeciesCarb">'ACA metrics'!#REF!</definedName>
    <definedName name="TransectGrainType">'Transect Summary'!$A$29:$O$40</definedName>
    <definedName name="TransectSedProduction">'Transect Summary'!$A$10:$N$24</definedName>
    <definedName name="UdoteaInitialMetrics" localSheetId="25">[2]Udotea!$C$11:$J$14</definedName>
    <definedName name="UdoteaInitialMetrics">Udotea!$C$11:$J$14</definedName>
    <definedName name="UdoteaMetrics">Udotea!$C$11:$J$14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1" i="80" l="1"/>
  <c r="H75" i="80"/>
  <c r="H69" i="80"/>
  <c r="H63" i="80"/>
  <c r="H57" i="80"/>
  <c r="H51" i="80"/>
  <c r="H45" i="80"/>
  <c r="H39" i="80"/>
  <c r="H33" i="80"/>
  <c r="H27" i="80"/>
  <c r="B39" i="80" l="1"/>
  <c r="B45" i="80"/>
  <c r="B33" i="80"/>
  <c r="B63" i="80"/>
  <c r="B81" i="80"/>
  <c r="B57" i="80"/>
  <c r="B69" i="80"/>
  <c r="B51" i="80"/>
  <c r="B75" i="80"/>
  <c r="B27" i="80"/>
  <c r="E181" i="62" l="1"/>
  <c r="A180" i="62"/>
  <c r="H180" i="62"/>
  <c r="I180" i="62" s="1"/>
  <c r="J180" i="62"/>
  <c r="L180" i="62"/>
  <c r="M180" i="62"/>
  <c r="R180" i="62"/>
  <c r="S180" i="62"/>
  <c r="T180" i="62"/>
  <c r="U180" i="62"/>
  <c r="A179" i="62"/>
  <c r="H179" i="62"/>
  <c r="I179" i="62" s="1"/>
  <c r="J179" i="62"/>
  <c r="L179" i="62"/>
  <c r="M179" i="62"/>
  <c r="R179" i="62"/>
  <c r="S179" i="62"/>
  <c r="T179" i="62"/>
  <c r="U179" i="62"/>
  <c r="A178" i="62"/>
  <c r="H178" i="62"/>
  <c r="I178" i="62" s="1"/>
  <c r="J178" i="62"/>
  <c r="L178" i="62"/>
  <c r="M178" i="62"/>
  <c r="R178" i="62"/>
  <c r="S178" i="62"/>
  <c r="T178" i="62"/>
  <c r="U178" i="62"/>
  <c r="A177" i="62"/>
  <c r="H177" i="62"/>
  <c r="I177" i="62" s="1"/>
  <c r="J177" i="62"/>
  <c r="L177" i="62"/>
  <c r="M177" i="62"/>
  <c r="R177" i="62"/>
  <c r="S177" i="62"/>
  <c r="T177" i="62"/>
  <c r="U177" i="62"/>
  <c r="A176" i="62"/>
  <c r="H176" i="62"/>
  <c r="I176" i="62" s="1"/>
  <c r="J176" i="62"/>
  <c r="L176" i="62"/>
  <c r="M176" i="62"/>
  <c r="R176" i="62"/>
  <c r="S176" i="62"/>
  <c r="T176" i="62"/>
  <c r="U176" i="62"/>
  <c r="A175" i="62"/>
  <c r="H175" i="62"/>
  <c r="I175" i="62" s="1"/>
  <c r="J175" i="62"/>
  <c r="L175" i="62"/>
  <c r="M175" i="62"/>
  <c r="R175" i="62"/>
  <c r="S175" i="62"/>
  <c r="T175" i="62"/>
  <c r="U175" i="62"/>
  <c r="A174" i="62"/>
  <c r="H174" i="62"/>
  <c r="I174" i="62" s="1"/>
  <c r="J174" i="62"/>
  <c r="L174" i="62"/>
  <c r="M174" i="62"/>
  <c r="R174" i="62"/>
  <c r="S174" i="62"/>
  <c r="T174" i="62"/>
  <c r="U174" i="62"/>
  <c r="A173" i="62"/>
  <c r="H173" i="62"/>
  <c r="I173" i="62" s="1"/>
  <c r="J173" i="62"/>
  <c r="L173" i="62"/>
  <c r="M173" i="62"/>
  <c r="R173" i="62"/>
  <c r="S173" i="62"/>
  <c r="T173" i="62"/>
  <c r="U173" i="62"/>
  <c r="A172" i="62"/>
  <c r="H172" i="62"/>
  <c r="I172" i="62" s="1"/>
  <c r="J172" i="62"/>
  <c r="L172" i="62"/>
  <c r="M172" i="62"/>
  <c r="R172" i="62"/>
  <c r="S172" i="62"/>
  <c r="T172" i="62"/>
  <c r="U172" i="62"/>
  <c r="E165" i="62"/>
  <c r="A164" i="62"/>
  <c r="H164" i="62"/>
  <c r="I164" i="62" s="1"/>
  <c r="J164" i="62"/>
  <c r="L164" i="62"/>
  <c r="M164" i="62"/>
  <c r="R164" i="62"/>
  <c r="S164" i="62"/>
  <c r="T164" i="62"/>
  <c r="U164" i="62"/>
  <c r="A163" i="62"/>
  <c r="H163" i="62"/>
  <c r="I163" i="62" s="1"/>
  <c r="J163" i="62"/>
  <c r="L163" i="62"/>
  <c r="M163" i="62"/>
  <c r="R163" i="62"/>
  <c r="S163" i="62"/>
  <c r="T163" i="62"/>
  <c r="U163" i="62"/>
  <c r="A162" i="62"/>
  <c r="H162" i="62"/>
  <c r="I162" i="62" s="1"/>
  <c r="J162" i="62"/>
  <c r="L162" i="62"/>
  <c r="M162" i="62"/>
  <c r="R162" i="62"/>
  <c r="S162" i="62"/>
  <c r="T162" i="62"/>
  <c r="U162" i="62"/>
  <c r="A161" i="62"/>
  <c r="H161" i="62"/>
  <c r="I161" i="62" s="1"/>
  <c r="J161" i="62"/>
  <c r="L161" i="62"/>
  <c r="M161" i="62"/>
  <c r="R161" i="62"/>
  <c r="S161" i="62"/>
  <c r="T161" i="62"/>
  <c r="U161" i="62"/>
  <c r="A160" i="62"/>
  <c r="H160" i="62"/>
  <c r="I160" i="62" s="1"/>
  <c r="J160" i="62"/>
  <c r="L160" i="62"/>
  <c r="M160" i="62"/>
  <c r="R160" i="62"/>
  <c r="S160" i="62"/>
  <c r="T160" i="62"/>
  <c r="U160" i="62"/>
  <c r="A159" i="62"/>
  <c r="H159" i="62"/>
  <c r="I159" i="62" s="1"/>
  <c r="J159" i="62"/>
  <c r="L159" i="62"/>
  <c r="M159" i="62"/>
  <c r="R159" i="62"/>
  <c r="S159" i="62"/>
  <c r="T159" i="62"/>
  <c r="U159" i="62"/>
  <c r="A158" i="62"/>
  <c r="H158" i="62"/>
  <c r="I158" i="62" s="1"/>
  <c r="J158" i="62"/>
  <c r="L158" i="62"/>
  <c r="M158" i="62"/>
  <c r="R158" i="62"/>
  <c r="S158" i="62"/>
  <c r="T158" i="62"/>
  <c r="U158" i="62"/>
  <c r="A157" i="62"/>
  <c r="H157" i="62"/>
  <c r="I157" i="62" s="1"/>
  <c r="J157" i="62"/>
  <c r="L157" i="62"/>
  <c r="M157" i="62"/>
  <c r="R157" i="62"/>
  <c r="S157" i="62"/>
  <c r="T157" i="62"/>
  <c r="U157" i="62"/>
  <c r="A156" i="62"/>
  <c r="H156" i="62"/>
  <c r="I156" i="62" s="1"/>
  <c r="J156" i="62"/>
  <c r="L156" i="62"/>
  <c r="M156" i="62"/>
  <c r="R156" i="62"/>
  <c r="S156" i="62"/>
  <c r="T156" i="62"/>
  <c r="U156" i="62"/>
  <c r="E149" i="62"/>
  <c r="A148" i="62"/>
  <c r="H148" i="62"/>
  <c r="I148" i="62" s="1"/>
  <c r="J148" i="62"/>
  <c r="L148" i="62"/>
  <c r="M148" i="62"/>
  <c r="R148" i="62"/>
  <c r="S148" i="62"/>
  <c r="T148" i="62"/>
  <c r="U148" i="62"/>
  <c r="A147" i="62"/>
  <c r="H147" i="62"/>
  <c r="I147" i="62" s="1"/>
  <c r="J147" i="62"/>
  <c r="L147" i="62"/>
  <c r="M147" i="62"/>
  <c r="R147" i="62"/>
  <c r="S147" i="62"/>
  <c r="T147" i="62"/>
  <c r="U147" i="62"/>
  <c r="A146" i="62"/>
  <c r="H146" i="62"/>
  <c r="I146" i="62" s="1"/>
  <c r="J146" i="62"/>
  <c r="L146" i="62"/>
  <c r="M146" i="62"/>
  <c r="R146" i="62"/>
  <c r="S146" i="62"/>
  <c r="T146" i="62"/>
  <c r="U146" i="62"/>
  <c r="A145" i="62"/>
  <c r="H145" i="62"/>
  <c r="I145" i="62" s="1"/>
  <c r="J145" i="62"/>
  <c r="L145" i="62"/>
  <c r="M145" i="62"/>
  <c r="R145" i="62"/>
  <c r="S145" i="62"/>
  <c r="T145" i="62"/>
  <c r="U145" i="62"/>
  <c r="A144" i="62"/>
  <c r="H144" i="62"/>
  <c r="I144" i="62" s="1"/>
  <c r="J144" i="62"/>
  <c r="L144" i="62"/>
  <c r="M144" i="62"/>
  <c r="R144" i="62"/>
  <c r="S144" i="62"/>
  <c r="T144" i="62"/>
  <c r="U144" i="62"/>
  <c r="A143" i="62"/>
  <c r="H143" i="62"/>
  <c r="I143" i="62" s="1"/>
  <c r="J143" i="62"/>
  <c r="L143" i="62"/>
  <c r="M143" i="62"/>
  <c r="R143" i="62"/>
  <c r="S143" i="62"/>
  <c r="T143" i="62"/>
  <c r="U143" i="62"/>
  <c r="A142" i="62"/>
  <c r="H142" i="62"/>
  <c r="I142" i="62" s="1"/>
  <c r="J142" i="62"/>
  <c r="L142" i="62"/>
  <c r="M142" i="62"/>
  <c r="R142" i="62"/>
  <c r="S142" i="62"/>
  <c r="T142" i="62"/>
  <c r="U142" i="62"/>
  <c r="A141" i="62"/>
  <c r="H141" i="62"/>
  <c r="I141" i="62" s="1"/>
  <c r="J141" i="62"/>
  <c r="L141" i="62"/>
  <c r="M141" i="62"/>
  <c r="R141" i="62"/>
  <c r="S141" i="62"/>
  <c r="T141" i="62"/>
  <c r="U141" i="62"/>
  <c r="A140" i="62"/>
  <c r="H140" i="62"/>
  <c r="I140" i="62" s="1"/>
  <c r="J140" i="62"/>
  <c r="L140" i="62"/>
  <c r="M140" i="62"/>
  <c r="R140" i="62"/>
  <c r="S140" i="62"/>
  <c r="T140" i="62"/>
  <c r="U140" i="62"/>
  <c r="E133" i="62"/>
  <c r="A132" i="62"/>
  <c r="H132" i="62"/>
  <c r="I132" i="62" s="1"/>
  <c r="J132" i="62"/>
  <c r="L132" i="62"/>
  <c r="M132" i="62"/>
  <c r="R132" i="62"/>
  <c r="S132" i="62"/>
  <c r="T132" i="62"/>
  <c r="U132" i="62"/>
  <c r="A131" i="62"/>
  <c r="H131" i="62"/>
  <c r="I131" i="62" s="1"/>
  <c r="J131" i="62"/>
  <c r="L131" i="62"/>
  <c r="M131" i="62"/>
  <c r="R131" i="62"/>
  <c r="S131" i="62"/>
  <c r="T131" i="62"/>
  <c r="U131" i="62"/>
  <c r="A130" i="62"/>
  <c r="H130" i="62"/>
  <c r="I130" i="62" s="1"/>
  <c r="J130" i="62"/>
  <c r="L130" i="62"/>
  <c r="M130" i="62"/>
  <c r="R130" i="62"/>
  <c r="S130" i="62"/>
  <c r="T130" i="62"/>
  <c r="U130" i="62"/>
  <c r="A129" i="62"/>
  <c r="H129" i="62"/>
  <c r="I129" i="62" s="1"/>
  <c r="J129" i="62"/>
  <c r="L129" i="62"/>
  <c r="M129" i="62"/>
  <c r="R129" i="62"/>
  <c r="S129" i="62"/>
  <c r="T129" i="62"/>
  <c r="U129" i="62"/>
  <c r="A128" i="62"/>
  <c r="H128" i="62"/>
  <c r="I128" i="62" s="1"/>
  <c r="J128" i="62"/>
  <c r="L128" i="62"/>
  <c r="M128" i="62"/>
  <c r="R128" i="62"/>
  <c r="S128" i="62"/>
  <c r="T128" i="62"/>
  <c r="U128" i="62"/>
  <c r="A127" i="62"/>
  <c r="H127" i="62"/>
  <c r="I127" i="62" s="1"/>
  <c r="J127" i="62"/>
  <c r="L127" i="62"/>
  <c r="M127" i="62"/>
  <c r="R127" i="62"/>
  <c r="S127" i="62"/>
  <c r="T127" i="62"/>
  <c r="U127" i="62"/>
  <c r="A126" i="62"/>
  <c r="H126" i="62"/>
  <c r="I126" i="62" s="1"/>
  <c r="J126" i="62"/>
  <c r="L126" i="62"/>
  <c r="M126" i="62"/>
  <c r="R126" i="62"/>
  <c r="S126" i="62"/>
  <c r="T126" i="62"/>
  <c r="U126" i="62"/>
  <c r="A125" i="62"/>
  <c r="H125" i="62"/>
  <c r="I125" i="62" s="1"/>
  <c r="J125" i="62"/>
  <c r="L125" i="62"/>
  <c r="M125" i="62"/>
  <c r="R125" i="62"/>
  <c r="S125" i="62"/>
  <c r="T125" i="62"/>
  <c r="U125" i="62"/>
  <c r="A124" i="62"/>
  <c r="H124" i="62"/>
  <c r="I124" i="62" s="1"/>
  <c r="J124" i="62"/>
  <c r="L124" i="62"/>
  <c r="M124" i="62"/>
  <c r="R124" i="62"/>
  <c r="S124" i="62"/>
  <c r="T124" i="62"/>
  <c r="U124" i="62"/>
  <c r="E117" i="62"/>
  <c r="A116" i="62"/>
  <c r="H116" i="62"/>
  <c r="I116" i="62" s="1"/>
  <c r="J116" i="62"/>
  <c r="L116" i="62"/>
  <c r="M116" i="62"/>
  <c r="R116" i="62"/>
  <c r="S116" i="62"/>
  <c r="T116" i="62"/>
  <c r="U116" i="62"/>
  <c r="A115" i="62"/>
  <c r="H115" i="62"/>
  <c r="I115" i="62" s="1"/>
  <c r="J115" i="62"/>
  <c r="L115" i="62"/>
  <c r="M115" i="62"/>
  <c r="R115" i="62"/>
  <c r="S115" i="62"/>
  <c r="T115" i="62"/>
  <c r="U115" i="62"/>
  <c r="A114" i="62"/>
  <c r="H114" i="62"/>
  <c r="I114" i="62" s="1"/>
  <c r="J114" i="62"/>
  <c r="L114" i="62"/>
  <c r="M114" i="62"/>
  <c r="R114" i="62"/>
  <c r="S114" i="62"/>
  <c r="T114" i="62"/>
  <c r="U114" i="62"/>
  <c r="A113" i="62"/>
  <c r="H113" i="62"/>
  <c r="I113" i="62" s="1"/>
  <c r="J113" i="62"/>
  <c r="L113" i="62"/>
  <c r="M113" i="62"/>
  <c r="R113" i="62"/>
  <c r="S113" i="62"/>
  <c r="T113" i="62"/>
  <c r="U113" i="62"/>
  <c r="A112" i="62"/>
  <c r="H112" i="62"/>
  <c r="I112" i="62" s="1"/>
  <c r="J112" i="62"/>
  <c r="L112" i="62"/>
  <c r="M112" i="62"/>
  <c r="R112" i="62"/>
  <c r="S112" i="62"/>
  <c r="T112" i="62"/>
  <c r="U112" i="62"/>
  <c r="A111" i="62"/>
  <c r="H111" i="62"/>
  <c r="I111" i="62" s="1"/>
  <c r="J111" i="62"/>
  <c r="L111" i="62"/>
  <c r="M111" i="62"/>
  <c r="R111" i="62"/>
  <c r="S111" i="62"/>
  <c r="T111" i="62"/>
  <c r="U111" i="62"/>
  <c r="A110" i="62"/>
  <c r="H110" i="62"/>
  <c r="I110" i="62" s="1"/>
  <c r="J110" i="62"/>
  <c r="L110" i="62"/>
  <c r="M110" i="62"/>
  <c r="R110" i="62"/>
  <c r="S110" i="62"/>
  <c r="T110" i="62"/>
  <c r="U110" i="62"/>
  <c r="A109" i="62"/>
  <c r="H109" i="62"/>
  <c r="I109" i="62" s="1"/>
  <c r="J109" i="62"/>
  <c r="L109" i="62"/>
  <c r="M109" i="62"/>
  <c r="R109" i="62"/>
  <c r="S109" i="62"/>
  <c r="T109" i="62"/>
  <c r="U109" i="62"/>
  <c r="A108" i="62"/>
  <c r="H108" i="62"/>
  <c r="I108" i="62" s="1"/>
  <c r="J108" i="62"/>
  <c r="L108" i="62"/>
  <c r="M108" i="62"/>
  <c r="R108" i="62"/>
  <c r="S108" i="62"/>
  <c r="T108" i="62"/>
  <c r="U108" i="62"/>
  <c r="E101" i="62"/>
  <c r="A100" i="62"/>
  <c r="H100" i="62"/>
  <c r="I100" i="62" s="1"/>
  <c r="J100" i="62"/>
  <c r="L100" i="62"/>
  <c r="M100" i="62"/>
  <c r="R100" i="62"/>
  <c r="S100" i="62"/>
  <c r="T100" i="62"/>
  <c r="U100" i="62"/>
  <c r="A99" i="62"/>
  <c r="H99" i="62"/>
  <c r="I99" i="62" s="1"/>
  <c r="J99" i="62"/>
  <c r="L99" i="62"/>
  <c r="M99" i="62"/>
  <c r="R99" i="62"/>
  <c r="S99" i="62"/>
  <c r="T99" i="62"/>
  <c r="U99" i="62"/>
  <c r="A98" i="62"/>
  <c r="H98" i="62"/>
  <c r="I98" i="62" s="1"/>
  <c r="J98" i="62"/>
  <c r="L98" i="62"/>
  <c r="M98" i="62"/>
  <c r="R98" i="62"/>
  <c r="S98" i="62"/>
  <c r="T98" i="62"/>
  <c r="U98" i="62"/>
  <c r="A97" i="62"/>
  <c r="H97" i="62"/>
  <c r="I97" i="62" s="1"/>
  <c r="J97" i="62"/>
  <c r="L97" i="62"/>
  <c r="M97" i="62"/>
  <c r="R97" i="62"/>
  <c r="S97" i="62"/>
  <c r="T97" i="62"/>
  <c r="U97" i="62"/>
  <c r="A96" i="62"/>
  <c r="H96" i="62"/>
  <c r="I96" i="62" s="1"/>
  <c r="J96" i="62"/>
  <c r="L96" i="62"/>
  <c r="M96" i="62"/>
  <c r="R96" i="62"/>
  <c r="S96" i="62"/>
  <c r="T96" i="62"/>
  <c r="U96" i="62"/>
  <c r="A95" i="62"/>
  <c r="H95" i="62"/>
  <c r="I95" i="62" s="1"/>
  <c r="J95" i="62"/>
  <c r="L95" i="62"/>
  <c r="M95" i="62"/>
  <c r="R95" i="62"/>
  <c r="S95" i="62"/>
  <c r="T95" i="62"/>
  <c r="U95" i="62"/>
  <c r="A94" i="62"/>
  <c r="H94" i="62"/>
  <c r="I94" i="62" s="1"/>
  <c r="J94" i="62"/>
  <c r="L94" i="62"/>
  <c r="M94" i="62"/>
  <c r="R94" i="62"/>
  <c r="S94" i="62"/>
  <c r="T94" i="62"/>
  <c r="U94" i="62"/>
  <c r="A93" i="62"/>
  <c r="H93" i="62"/>
  <c r="I93" i="62" s="1"/>
  <c r="J93" i="62"/>
  <c r="L93" i="62"/>
  <c r="M93" i="62"/>
  <c r="R93" i="62"/>
  <c r="S93" i="62"/>
  <c r="T93" i="62"/>
  <c r="U93" i="62"/>
  <c r="A92" i="62"/>
  <c r="H92" i="62"/>
  <c r="I92" i="62" s="1"/>
  <c r="J92" i="62"/>
  <c r="L92" i="62"/>
  <c r="M92" i="62"/>
  <c r="R92" i="62"/>
  <c r="S92" i="62"/>
  <c r="T92" i="62"/>
  <c r="U92" i="62"/>
  <c r="E85" i="62"/>
  <c r="A84" i="62"/>
  <c r="H84" i="62"/>
  <c r="I84" i="62" s="1"/>
  <c r="J84" i="62"/>
  <c r="L84" i="62"/>
  <c r="M84" i="62"/>
  <c r="R84" i="62"/>
  <c r="S84" i="62"/>
  <c r="T84" i="62"/>
  <c r="U84" i="62"/>
  <c r="A83" i="62"/>
  <c r="H83" i="62"/>
  <c r="I83" i="62" s="1"/>
  <c r="J83" i="62"/>
  <c r="L83" i="62"/>
  <c r="M83" i="62"/>
  <c r="R83" i="62"/>
  <c r="S83" i="62"/>
  <c r="T83" i="62"/>
  <c r="U83" i="62"/>
  <c r="A82" i="62"/>
  <c r="H82" i="62"/>
  <c r="I82" i="62" s="1"/>
  <c r="J82" i="62"/>
  <c r="L82" i="62"/>
  <c r="M82" i="62"/>
  <c r="R82" i="62"/>
  <c r="S82" i="62"/>
  <c r="T82" i="62"/>
  <c r="U82" i="62"/>
  <c r="A81" i="62"/>
  <c r="H81" i="62"/>
  <c r="I81" i="62" s="1"/>
  <c r="J81" i="62"/>
  <c r="L81" i="62"/>
  <c r="M81" i="62"/>
  <c r="R81" i="62"/>
  <c r="S81" i="62"/>
  <c r="T81" i="62"/>
  <c r="U81" i="62"/>
  <c r="A80" i="62"/>
  <c r="H80" i="62"/>
  <c r="I80" i="62" s="1"/>
  <c r="J80" i="62"/>
  <c r="L80" i="62"/>
  <c r="M80" i="62"/>
  <c r="R80" i="62"/>
  <c r="S80" i="62"/>
  <c r="T80" i="62"/>
  <c r="U80" i="62"/>
  <c r="A79" i="62"/>
  <c r="H79" i="62"/>
  <c r="I79" i="62" s="1"/>
  <c r="J79" i="62"/>
  <c r="L79" i="62"/>
  <c r="M79" i="62"/>
  <c r="R79" i="62"/>
  <c r="S79" i="62"/>
  <c r="T79" i="62"/>
  <c r="U79" i="62"/>
  <c r="A78" i="62"/>
  <c r="H78" i="62"/>
  <c r="I78" i="62" s="1"/>
  <c r="J78" i="62"/>
  <c r="L78" i="62"/>
  <c r="M78" i="62"/>
  <c r="R78" i="62"/>
  <c r="S78" i="62"/>
  <c r="T78" i="62"/>
  <c r="U78" i="62"/>
  <c r="A77" i="62"/>
  <c r="H77" i="62"/>
  <c r="I77" i="62" s="1"/>
  <c r="J77" i="62"/>
  <c r="L77" i="62"/>
  <c r="M77" i="62"/>
  <c r="R77" i="62"/>
  <c r="S77" i="62"/>
  <c r="T77" i="62"/>
  <c r="U77" i="62"/>
  <c r="A76" i="62"/>
  <c r="H76" i="62"/>
  <c r="I76" i="62" s="1"/>
  <c r="J76" i="62"/>
  <c r="L76" i="62"/>
  <c r="M76" i="62"/>
  <c r="R76" i="62"/>
  <c r="S76" i="62"/>
  <c r="T76" i="62"/>
  <c r="U76" i="62"/>
  <c r="E69" i="62"/>
  <c r="A68" i="62"/>
  <c r="H68" i="62"/>
  <c r="I68" i="62" s="1"/>
  <c r="J68" i="62"/>
  <c r="L68" i="62"/>
  <c r="M68" i="62"/>
  <c r="R68" i="62"/>
  <c r="S68" i="62"/>
  <c r="T68" i="62"/>
  <c r="U68" i="62"/>
  <c r="A67" i="62"/>
  <c r="H67" i="62"/>
  <c r="I67" i="62" s="1"/>
  <c r="J67" i="62"/>
  <c r="L67" i="62"/>
  <c r="M67" i="62"/>
  <c r="R67" i="62"/>
  <c r="S67" i="62"/>
  <c r="T67" i="62"/>
  <c r="U67" i="62"/>
  <c r="A66" i="62"/>
  <c r="H66" i="62"/>
  <c r="I66" i="62" s="1"/>
  <c r="J66" i="62"/>
  <c r="L66" i="62"/>
  <c r="M66" i="62"/>
  <c r="R66" i="62"/>
  <c r="S66" i="62"/>
  <c r="T66" i="62"/>
  <c r="U66" i="62"/>
  <c r="A65" i="62"/>
  <c r="H65" i="62"/>
  <c r="I65" i="62" s="1"/>
  <c r="J65" i="62"/>
  <c r="L65" i="62"/>
  <c r="M65" i="62"/>
  <c r="R65" i="62"/>
  <c r="S65" i="62"/>
  <c r="T65" i="62"/>
  <c r="U65" i="62"/>
  <c r="A64" i="62"/>
  <c r="H64" i="62"/>
  <c r="I64" i="62" s="1"/>
  <c r="J64" i="62"/>
  <c r="L64" i="62"/>
  <c r="M64" i="62"/>
  <c r="R64" i="62"/>
  <c r="S64" i="62"/>
  <c r="T64" i="62"/>
  <c r="U64" i="62"/>
  <c r="A63" i="62"/>
  <c r="H63" i="62"/>
  <c r="I63" i="62" s="1"/>
  <c r="J63" i="62"/>
  <c r="L63" i="62"/>
  <c r="M63" i="62"/>
  <c r="R63" i="62"/>
  <c r="S63" i="62"/>
  <c r="T63" i="62"/>
  <c r="U63" i="62"/>
  <c r="A62" i="62"/>
  <c r="H62" i="62"/>
  <c r="I62" i="62" s="1"/>
  <c r="J62" i="62"/>
  <c r="L62" i="62"/>
  <c r="M62" i="62"/>
  <c r="R62" i="62"/>
  <c r="S62" i="62"/>
  <c r="T62" i="62"/>
  <c r="U62" i="62"/>
  <c r="A61" i="62"/>
  <c r="H61" i="62"/>
  <c r="I61" i="62" s="1"/>
  <c r="J61" i="62"/>
  <c r="L61" i="62"/>
  <c r="M61" i="62"/>
  <c r="R61" i="62"/>
  <c r="S61" i="62"/>
  <c r="T61" i="62"/>
  <c r="U61" i="62"/>
  <c r="A60" i="62"/>
  <c r="H60" i="62"/>
  <c r="I60" i="62" s="1"/>
  <c r="J60" i="62"/>
  <c r="L60" i="62"/>
  <c r="M60" i="62"/>
  <c r="R60" i="62"/>
  <c r="S60" i="62"/>
  <c r="T60" i="62"/>
  <c r="U60" i="62"/>
  <c r="E53" i="62"/>
  <c r="A52" i="62"/>
  <c r="H52" i="62"/>
  <c r="I52" i="62" s="1"/>
  <c r="J52" i="62"/>
  <c r="L52" i="62"/>
  <c r="M52" i="62"/>
  <c r="R52" i="62"/>
  <c r="S52" i="62"/>
  <c r="T52" i="62"/>
  <c r="U52" i="62"/>
  <c r="A51" i="62"/>
  <c r="H51" i="62"/>
  <c r="I51" i="62" s="1"/>
  <c r="J51" i="62"/>
  <c r="L51" i="62"/>
  <c r="M51" i="62"/>
  <c r="R51" i="62"/>
  <c r="S51" i="62"/>
  <c r="T51" i="62"/>
  <c r="U51" i="62"/>
  <c r="A50" i="62"/>
  <c r="H50" i="62"/>
  <c r="I50" i="62" s="1"/>
  <c r="J50" i="62"/>
  <c r="L50" i="62"/>
  <c r="M50" i="62"/>
  <c r="R50" i="62"/>
  <c r="S50" i="62"/>
  <c r="T50" i="62"/>
  <c r="U50" i="62"/>
  <c r="A49" i="62"/>
  <c r="H49" i="62"/>
  <c r="I49" i="62" s="1"/>
  <c r="J49" i="62"/>
  <c r="L49" i="62"/>
  <c r="M49" i="62"/>
  <c r="R49" i="62"/>
  <c r="S49" i="62"/>
  <c r="T49" i="62"/>
  <c r="U49" i="62"/>
  <c r="A48" i="62"/>
  <c r="H48" i="62"/>
  <c r="I48" i="62" s="1"/>
  <c r="J48" i="62"/>
  <c r="L48" i="62"/>
  <c r="M48" i="62"/>
  <c r="R48" i="62"/>
  <c r="S48" i="62"/>
  <c r="T48" i="62"/>
  <c r="U48" i="62"/>
  <c r="A47" i="62"/>
  <c r="H47" i="62"/>
  <c r="I47" i="62" s="1"/>
  <c r="J47" i="62"/>
  <c r="L47" i="62"/>
  <c r="M47" i="62"/>
  <c r="R47" i="62"/>
  <c r="S47" i="62"/>
  <c r="T47" i="62"/>
  <c r="U47" i="62"/>
  <c r="A46" i="62"/>
  <c r="H46" i="62"/>
  <c r="I46" i="62" s="1"/>
  <c r="J46" i="62"/>
  <c r="L46" i="62"/>
  <c r="M46" i="62"/>
  <c r="R46" i="62"/>
  <c r="S46" i="62"/>
  <c r="T46" i="62"/>
  <c r="U46" i="62"/>
  <c r="A45" i="62"/>
  <c r="H45" i="62"/>
  <c r="I45" i="62" s="1"/>
  <c r="J45" i="62"/>
  <c r="L45" i="62"/>
  <c r="M45" i="62"/>
  <c r="R45" i="62"/>
  <c r="S45" i="62"/>
  <c r="T45" i="62"/>
  <c r="U45" i="62"/>
  <c r="A44" i="62"/>
  <c r="H44" i="62"/>
  <c r="I44" i="62" s="1"/>
  <c r="J44" i="62"/>
  <c r="L44" i="62"/>
  <c r="M44" i="62"/>
  <c r="R44" i="62"/>
  <c r="S44" i="62"/>
  <c r="T44" i="62"/>
  <c r="U44" i="62"/>
  <c r="E37" i="62"/>
  <c r="A36" i="62"/>
  <c r="H36" i="62"/>
  <c r="I36" i="62" s="1"/>
  <c r="J36" i="62"/>
  <c r="L36" i="62"/>
  <c r="M36" i="62"/>
  <c r="R36" i="62"/>
  <c r="S36" i="62"/>
  <c r="T36" i="62"/>
  <c r="U36" i="62"/>
  <c r="A35" i="62"/>
  <c r="H35" i="62"/>
  <c r="I35" i="62" s="1"/>
  <c r="J35" i="62"/>
  <c r="L35" i="62"/>
  <c r="M35" i="62"/>
  <c r="R35" i="62"/>
  <c r="S35" i="62"/>
  <c r="T35" i="62"/>
  <c r="U35" i="62"/>
  <c r="A34" i="62"/>
  <c r="H34" i="62"/>
  <c r="I34" i="62" s="1"/>
  <c r="J34" i="62"/>
  <c r="L34" i="62"/>
  <c r="M34" i="62"/>
  <c r="R34" i="62"/>
  <c r="S34" i="62"/>
  <c r="T34" i="62"/>
  <c r="U34" i="62"/>
  <c r="A33" i="62"/>
  <c r="H33" i="62"/>
  <c r="I33" i="62" s="1"/>
  <c r="J33" i="62"/>
  <c r="L33" i="62"/>
  <c r="M33" i="62"/>
  <c r="R33" i="62"/>
  <c r="S33" i="62"/>
  <c r="T33" i="62"/>
  <c r="U33" i="62"/>
  <c r="A32" i="62"/>
  <c r="H32" i="62"/>
  <c r="I32" i="62" s="1"/>
  <c r="J32" i="62"/>
  <c r="L32" i="62"/>
  <c r="M32" i="62"/>
  <c r="R32" i="62"/>
  <c r="S32" i="62"/>
  <c r="T32" i="62"/>
  <c r="U32" i="62"/>
  <c r="A31" i="62"/>
  <c r="H31" i="62"/>
  <c r="I31" i="62" s="1"/>
  <c r="J31" i="62"/>
  <c r="L31" i="62"/>
  <c r="M31" i="62"/>
  <c r="R31" i="62"/>
  <c r="S31" i="62"/>
  <c r="T31" i="62"/>
  <c r="U31" i="62"/>
  <c r="A30" i="62"/>
  <c r="H30" i="62"/>
  <c r="I30" i="62" s="1"/>
  <c r="J30" i="62"/>
  <c r="L30" i="62"/>
  <c r="M30" i="62"/>
  <c r="R30" i="62"/>
  <c r="S30" i="62"/>
  <c r="T30" i="62"/>
  <c r="U30" i="62"/>
  <c r="A29" i="62"/>
  <c r="H29" i="62"/>
  <c r="I29" i="62" s="1"/>
  <c r="J29" i="62"/>
  <c r="L29" i="62"/>
  <c r="M29" i="62"/>
  <c r="R29" i="62"/>
  <c r="S29" i="62"/>
  <c r="T29" i="62"/>
  <c r="U29" i="62"/>
  <c r="A28" i="62"/>
  <c r="H28" i="62"/>
  <c r="I28" i="62" s="1"/>
  <c r="J28" i="62"/>
  <c r="L28" i="62"/>
  <c r="M28" i="62"/>
  <c r="R28" i="62"/>
  <c r="S28" i="62"/>
  <c r="T28" i="62"/>
  <c r="U28" i="62"/>
  <c r="E181" i="49"/>
  <c r="A180" i="49"/>
  <c r="H180" i="49"/>
  <c r="I180" i="49"/>
  <c r="J180" i="49"/>
  <c r="K180" i="49"/>
  <c r="L180" i="49"/>
  <c r="M180" i="49"/>
  <c r="N180" i="49"/>
  <c r="S180" i="49"/>
  <c r="T180" i="49"/>
  <c r="U180" i="49"/>
  <c r="V180" i="49"/>
  <c r="A179" i="49"/>
  <c r="H179" i="49"/>
  <c r="I179" i="49" s="1"/>
  <c r="J179" i="49"/>
  <c r="K179" i="49"/>
  <c r="L179" i="49"/>
  <c r="O179" i="49" s="1"/>
  <c r="P179" i="49" s="1"/>
  <c r="Q179" i="49" s="1"/>
  <c r="M179" i="49"/>
  <c r="N179" i="49"/>
  <c r="S179" i="49"/>
  <c r="T179" i="49"/>
  <c r="U179" i="49"/>
  <c r="V179" i="49"/>
  <c r="A178" i="49"/>
  <c r="H178" i="49"/>
  <c r="I178" i="49" s="1"/>
  <c r="J178" i="49"/>
  <c r="K178" i="49"/>
  <c r="L178" i="49"/>
  <c r="M178" i="49"/>
  <c r="N178" i="49"/>
  <c r="S178" i="49"/>
  <c r="T178" i="49"/>
  <c r="U178" i="49"/>
  <c r="V178" i="49"/>
  <c r="A177" i="49"/>
  <c r="H177" i="49"/>
  <c r="I177" i="49" s="1"/>
  <c r="J177" i="49"/>
  <c r="K177" i="49"/>
  <c r="L177" i="49"/>
  <c r="M177" i="49"/>
  <c r="N177" i="49"/>
  <c r="S177" i="49"/>
  <c r="T177" i="49"/>
  <c r="U177" i="49"/>
  <c r="V177" i="49"/>
  <c r="A176" i="49"/>
  <c r="H176" i="49"/>
  <c r="I176" i="49" s="1"/>
  <c r="J176" i="49"/>
  <c r="K176" i="49"/>
  <c r="L176" i="49"/>
  <c r="M176" i="49"/>
  <c r="N176" i="49"/>
  <c r="S176" i="49"/>
  <c r="T176" i="49"/>
  <c r="U176" i="49"/>
  <c r="V176" i="49"/>
  <c r="A175" i="49"/>
  <c r="H175" i="49"/>
  <c r="I175" i="49" s="1"/>
  <c r="J175" i="49"/>
  <c r="K175" i="49"/>
  <c r="L175" i="49"/>
  <c r="M175" i="49"/>
  <c r="N175" i="49"/>
  <c r="S175" i="49"/>
  <c r="T175" i="49"/>
  <c r="U175" i="49"/>
  <c r="V175" i="49"/>
  <c r="A174" i="49"/>
  <c r="H174" i="49"/>
  <c r="I174" i="49"/>
  <c r="J174" i="49"/>
  <c r="K174" i="49"/>
  <c r="L174" i="49"/>
  <c r="M174" i="49"/>
  <c r="N174" i="49"/>
  <c r="S174" i="49"/>
  <c r="T174" i="49"/>
  <c r="U174" i="49"/>
  <c r="V174" i="49"/>
  <c r="A173" i="49"/>
  <c r="H173" i="49"/>
  <c r="I173" i="49" s="1"/>
  <c r="J173" i="49"/>
  <c r="K173" i="49"/>
  <c r="L173" i="49"/>
  <c r="M173" i="49"/>
  <c r="N173" i="49"/>
  <c r="S173" i="49"/>
  <c r="T173" i="49"/>
  <c r="U173" i="49"/>
  <c r="V173" i="49"/>
  <c r="A172" i="49"/>
  <c r="H172" i="49"/>
  <c r="I172" i="49" s="1"/>
  <c r="J172" i="49"/>
  <c r="K172" i="49"/>
  <c r="L172" i="49"/>
  <c r="O172" i="49" s="1"/>
  <c r="P172" i="49" s="1"/>
  <c r="Q172" i="49" s="1"/>
  <c r="M172" i="49"/>
  <c r="N172" i="49"/>
  <c r="S172" i="49"/>
  <c r="T172" i="49"/>
  <c r="U172" i="49"/>
  <c r="V172" i="49"/>
  <c r="E165" i="49"/>
  <c r="A164" i="49"/>
  <c r="H164" i="49"/>
  <c r="I164" i="49" s="1"/>
  <c r="J164" i="49"/>
  <c r="K164" i="49"/>
  <c r="L164" i="49"/>
  <c r="M164" i="49"/>
  <c r="N164" i="49"/>
  <c r="S164" i="49"/>
  <c r="T164" i="49"/>
  <c r="U164" i="49"/>
  <c r="V164" i="49"/>
  <c r="A163" i="49"/>
  <c r="H163" i="49"/>
  <c r="I163" i="49" s="1"/>
  <c r="J163" i="49"/>
  <c r="K163" i="49"/>
  <c r="L163" i="49"/>
  <c r="M163" i="49"/>
  <c r="N163" i="49"/>
  <c r="S163" i="49"/>
  <c r="T163" i="49"/>
  <c r="U163" i="49"/>
  <c r="V163" i="49"/>
  <c r="A162" i="49"/>
  <c r="H162" i="49"/>
  <c r="I162" i="49" s="1"/>
  <c r="J162" i="49"/>
  <c r="K162" i="49"/>
  <c r="L162" i="49"/>
  <c r="M162" i="49"/>
  <c r="N162" i="49"/>
  <c r="S162" i="49"/>
  <c r="T162" i="49"/>
  <c r="U162" i="49"/>
  <c r="V162" i="49"/>
  <c r="A161" i="49"/>
  <c r="H161" i="49"/>
  <c r="I161" i="49" s="1"/>
  <c r="J161" i="49"/>
  <c r="K161" i="49"/>
  <c r="L161" i="49"/>
  <c r="M161" i="49"/>
  <c r="N161" i="49"/>
  <c r="S161" i="49"/>
  <c r="T161" i="49"/>
  <c r="U161" i="49"/>
  <c r="V161" i="49"/>
  <c r="A160" i="49"/>
  <c r="H160" i="49"/>
  <c r="I160" i="49" s="1"/>
  <c r="J160" i="49"/>
  <c r="K160" i="49"/>
  <c r="L160" i="49"/>
  <c r="M160" i="49"/>
  <c r="N160" i="49"/>
  <c r="S160" i="49"/>
  <c r="T160" i="49"/>
  <c r="U160" i="49"/>
  <c r="V160" i="49"/>
  <c r="A159" i="49"/>
  <c r="H159" i="49"/>
  <c r="I159" i="49" s="1"/>
  <c r="J159" i="49"/>
  <c r="K159" i="49"/>
  <c r="L159" i="49"/>
  <c r="M159" i="49"/>
  <c r="N159" i="49"/>
  <c r="S159" i="49"/>
  <c r="T159" i="49"/>
  <c r="U159" i="49"/>
  <c r="V159" i="49"/>
  <c r="A158" i="49"/>
  <c r="H158" i="49"/>
  <c r="I158" i="49" s="1"/>
  <c r="J158" i="49"/>
  <c r="K158" i="49"/>
  <c r="L158" i="49"/>
  <c r="M158" i="49"/>
  <c r="N158" i="49"/>
  <c r="S158" i="49"/>
  <c r="T158" i="49"/>
  <c r="U158" i="49"/>
  <c r="V158" i="49"/>
  <c r="A157" i="49"/>
  <c r="H157" i="49"/>
  <c r="I157" i="49" s="1"/>
  <c r="J157" i="49"/>
  <c r="K157" i="49"/>
  <c r="L157" i="49"/>
  <c r="M157" i="49"/>
  <c r="N157" i="49"/>
  <c r="S157" i="49"/>
  <c r="T157" i="49"/>
  <c r="U157" i="49"/>
  <c r="V157" i="49"/>
  <c r="A156" i="49"/>
  <c r="H156" i="49"/>
  <c r="I156" i="49" s="1"/>
  <c r="J156" i="49"/>
  <c r="K156" i="49"/>
  <c r="L156" i="49"/>
  <c r="M156" i="49"/>
  <c r="N156" i="49"/>
  <c r="S156" i="49"/>
  <c r="T156" i="49"/>
  <c r="U156" i="49"/>
  <c r="V156" i="49"/>
  <c r="E149" i="49"/>
  <c r="A148" i="49"/>
  <c r="H148" i="49"/>
  <c r="I148" i="49" s="1"/>
  <c r="J148" i="49"/>
  <c r="K148" i="49"/>
  <c r="L148" i="49"/>
  <c r="M148" i="49"/>
  <c r="N148" i="49"/>
  <c r="S148" i="49"/>
  <c r="T148" i="49"/>
  <c r="U148" i="49"/>
  <c r="V148" i="49"/>
  <c r="A147" i="49"/>
  <c r="H147" i="49"/>
  <c r="I147" i="49" s="1"/>
  <c r="J147" i="49"/>
  <c r="K147" i="49"/>
  <c r="L147" i="49"/>
  <c r="M147" i="49"/>
  <c r="N147" i="49"/>
  <c r="S147" i="49"/>
  <c r="T147" i="49"/>
  <c r="U147" i="49"/>
  <c r="V147" i="49"/>
  <c r="A146" i="49"/>
  <c r="H146" i="49"/>
  <c r="I146" i="49" s="1"/>
  <c r="J146" i="49"/>
  <c r="K146" i="49"/>
  <c r="L146" i="49"/>
  <c r="M146" i="49"/>
  <c r="N146" i="49"/>
  <c r="S146" i="49"/>
  <c r="T146" i="49"/>
  <c r="U146" i="49"/>
  <c r="V146" i="49"/>
  <c r="A145" i="49"/>
  <c r="H145" i="49"/>
  <c r="I145" i="49" s="1"/>
  <c r="J145" i="49"/>
  <c r="K145" i="49"/>
  <c r="L145" i="49"/>
  <c r="M145" i="49"/>
  <c r="N145" i="49"/>
  <c r="S145" i="49"/>
  <c r="T145" i="49"/>
  <c r="U145" i="49"/>
  <c r="V145" i="49"/>
  <c r="A144" i="49"/>
  <c r="H144" i="49"/>
  <c r="I144" i="49" s="1"/>
  <c r="J144" i="49"/>
  <c r="K144" i="49"/>
  <c r="L144" i="49"/>
  <c r="M144" i="49"/>
  <c r="N144" i="49"/>
  <c r="S144" i="49"/>
  <c r="T144" i="49"/>
  <c r="U144" i="49"/>
  <c r="V144" i="49"/>
  <c r="A143" i="49"/>
  <c r="H143" i="49"/>
  <c r="I143" i="49" s="1"/>
  <c r="J143" i="49"/>
  <c r="K143" i="49"/>
  <c r="L143" i="49"/>
  <c r="M143" i="49"/>
  <c r="N143" i="49"/>
  <c r="S143" i="49"/>
  <c r="T143" i="49"/>
  <c r="U143" i="49"/>
  <c r="V143" i="49"/>
  <c r="A142" i="49"/>
  <c r="H142" i="49"/>
  <c r="I142" i="49" s="1"/>
  <c r="J142" i="49"/>
  <c r="K142" i="49"/>
  <c r="L142" i="49"/>
  <c r="M142" i="49"/>
  <c r="N142" i="49"/>
  <c r="S142" i="49"/>
  <c r="T142" i="49"/>
  <c r="U142" i="49"/>
  <c r="V142" i="49"/>
  <c r="A141" i="49"/>
  <c r="H141" i="49"/>
  <c r="I141" i="49" s="1"/>
  <c r="J141" i="49"/>
  <c r="K141" i="49"/>
  <c r="L141" i="49"/>
  <c r="M141" i="49"/>
  <c r="N141" i="49"/>
  <c r="S141" i="49"/>
  <c r="T141" i="49"/>
  <c r="U141" i="49"/>
  <c r="V141" i="49"/>
  <c r="A140" i="49"/>
  <c r="H140" i="49"/>
  <c r="I140" i="49" s="1"/>
  <c r="J140" i="49"/>
  <c r="K140" i="49"/>
  <c r="L140" i="49"/>
  <c r="M140" i="49"/>
  <c r="N140" i="49"/>
  <c r="S140" i="49"/>
  <c r="T140" i="49"/>
  <c r="U140" i="49"/>
  <c r="V140" i="49"/>
  <c r="E133" i="49"/>
  <c r="A132" i="49"/>
  <c r="H132" i="49"/>
  <c r="I132" i="49" s="1"/>
  <c r="J132" i="49"/>
  <c r="K132" i="49"/>
  <c r="L132" i="49"/>
  <c r="M132" i="49"/>
  <c r="N132" i="49"/>
  <c r="S132" i="49"/>
  <c r="T132" i="49"/>
  <c r="U132" i="49"/>
  <c r="V132" i="49"/>
  <c r="A131" i="49"/>
  <c r="H131" i="49"/>
  <c r="I131" i="49" s="1"/>
  <c r="J131" i="49"/>
  <c r="K131" i="49"/>
  <c r="L131" i="49"/>
  <c r="M131" i="49"/>
  <c r="N131" i="49"/>
  <c r="S131" i="49"/>
  <c r="T131" i="49"/>
  <c r="U131" i="49"/>
  <c r="V131" i="49"/>
  <c r="A130" i="49"/>
  <c r="H130" i="49"/>
  <c r="I130" i="49" s="1"/>
  <c r="J130" i="49"/>
  <c r="K130" i="49"/>
  <c r="L130" i="49"/>
  <c r="M130" i="49"/>
  <c r="N130" i="49"/>
  <c r="S130" i="49"/>
  <c r="T130" i="49"/>
  <c r="U130" i="49"/>
  <c r="V130" i="49"/>
  <c r="A129" i="49"/>
  <c r="H129" i="49"/>
  <c r="I129" i="49" s="1"/>
  <c r="J129" i="49"/>
  <c r="K129" i="49"/>
  <c r="L129" i="49"/>
  <c r="M129" i="49"/>
  <c r="N129" i="49"/>
  <c r="S129" i="49"/>
  <c r="T129" i="49"/>
  <c r="U129" i="49"/>
  <c r="V129" i="49"/>
  <c r="A128" i="49"/>
  <c r="H128" i="49"/>
  <c r="I128" i="49" s="1"/>
  <c r="J128" i="49"/>
  <c r="K128" i="49"/>
  <c r="L128" i="49"/>
  <c r="M128" i="49"/>
  <c r="N128" i="49"/>
  <c r="S128" i="49"/>
  <c r="T128" i="49"/>
  <c r="U128" i="49"/>
  <c r="V128" i="49"/>
  <c r="A127" i="49"/>
  <c r="H127" i="49"/>
  <c r="I127" i="49" s="1"/>
  <c r="J127" i="49"/>
  <c r="K127" i="49"/>
  <c r="L127" i="49"/>
  <c r="M127" i="49"/>
  <c r="N127" i="49"/>
  <c r="S127" i="49"/>
  <c r="T127" i="49"/>
  <c r="U127" i="49"/>
  <c r="V127" i="49"/>
  <c r="A126" i="49"/>
  <c r="H126" i="49"/>
  <c r="I126" i="49" s="1"/>
  <c r="J126" i="49"/>
  <c r="K126" i="49"/>
  <c r="L126" i="49"/>
  <c r="M126" i="49"/>
  <c r="N126" i="49"/>
  <c r="S126" i="49"/>
  <c r="T126" i="49"/>
  <c r="U126" i="49"/>
  <c r="V126" i="49"/>
  <c r="A125" i="49"/>
  <c r="H125" i="49"/>
  <c r="I125" i="49" s="1"/>
  <c r="J125" i="49"/>
  <c r="K125" i="49"/>
  <c r="L125" i="49"/>
  <c r="M125" i="49"/>
  <c r="N125" i="49"/>
  <c r="S125" i="49"/>
  <c r="T125" i="49"/>
  <c r="U125" i="49"/>
  <c r="V125" i="49"/>
  <c r="A124" i="49"/>
  <c r="H124" i="49"/>
  <c r="I124" i="49" s="1"/>
  <c r="J124" i="49"/>
  <c r="K124" i="49"/>
  <c r="L124" i="49"/>
  <c r="M124" i="49"/>
  <c r="N124" i="49"/>
  <c r="S124" i="49"/>
  <c r="T124" i="49"/>
  <c r="U124" i="49"/>
  <c r="V124" i="49"/>
  <c r="E117" i="49"/>
  <c r="A116" i="49"/>
  <c r="H116" i="49"/>
  <c r="I116" i="49" s="1"/>
  <c r="J116" i="49"/>
  <c r="K116" i="49"/>
  <c r="L116" i="49"/>
  <c r="M116" i="49"/>
  <c r="N116" i="49"/>
  <c r="S116" i="49"/>
  <c r="T116" i="49"/>
  <c r="U116" i="49"/>
  <c r="V116" i="49"/>
  <c r="A115" i="49"/>
  <c r="H115" i="49"/>
  <c r="I115" i="49" s="1"/>
  <c r="J115" i="49"/>
  <c r="K115" i="49"/>
  <c r="L115" i="49"/>
  <c r="M115" i="49"/>
  <c r="N115" i="49"/>
  <c r="S115" i="49"/>
  <c r="T115" i="49"/>
  <c r="U115" i="49"/>
  <c r="V115" i="49"/>
  <c r="A114" i="49"/>
  <c r="H114" i="49"/>
  <c r="I114" i="49" s="1"/>
  <c r="J114" i="49"/>
  <c r="K114" i="49"/>
  <c r="L114" i="49"/>
  <c r="M114" i="49"/>
  <c r="N114" i="49"/>
  <c r="S114" i="49"/>
  <c r="T114" i="49"/>
  <c r="U114" i="49"/>
  <c r="V114" i="49"/>
  <c r="A113" i="49"/>
  <c r="H113" i="49"/>
  <c r="I113" i="49" s="1"/>
  <c r="J113" i="49"/>
  <c r="K113" i="49"/>
  <c r="L113" i="49"/>
  <c r="M113" i="49"/>
  <c r="N113" i="49"/>
  <c r="S113" i="49"/>
  <c r="T113" i="49"/>
  <c r="U113" i="49"/>
  <c r="V113" i="49"/>
  <c r="A112" i="49"/>
  <c r="H112" i="49"/>
  <c r="I112" i="49" s="1"/>
  <c r="J112" i="49"/>
  <c r="K112" i="49"/>
  <c r="L112" i="49"/>
  <c r="M112" i="49"/>
  <c r="N112" i="49"/>
  <c r="S112" i="49"/>
  <c r="T112" i="49"/>
  <c r="U112" i="49"/>
  <c r="V112" i="49"/>
  <c r="A111" i="49"/>
  <c r="H111" i="49"/>
  <c r="I111" i="49" s="1"/>
  <c r="J111" i="49"/>
  <c r="K111" i="49"/>
  <c r="L111" i="49"/>
  <c r="M111" i="49"/>
  <c r="N111" i="49"/>
  <c r="S111" i="49"/>
  <c r="T111" i="49"/>
  <c r="U111" i="49"/>
  <c r="V111" i="49"/>
  <c r="A110" i="49"/>
  <c r="H110" i="49"/>
  <c r="I110" i="49" s="1"/>
  <c r="J110" i="49"/>
  <c r="K110" i="49"/>
  <c r="L110" i="49"/>
  <c r="M110" i="49"/>
  <c r="N110" i="49"/>
  <c r="S110" i="49"/>
  <c r="T110" i="49"/>
  <c r="U110" i="49"/>
  <c r="V110" i="49"/>
  <c r="A109" i="49"/>
  <c r="H109" i="49"/>
  <c r="I109" i="49" s="1"/>
  <c r="J109" i="49"/>
  <c r="K109" i="49"/>
  <c r="L109" i="49"/>
  <c r="M109" i="49"/>
  <c r="N109" i="49"/>
  <c r="S109" i="49"/>
  <c r="T109" i="49"/>
  <c r="U109" i="49"/>
  <c r="V109" i="49"/>
  <c r="A108" i="49"/>
  <c r="H108" i="49"/>
  <c r="I108" i="49" s="1"/>
  <c r="J108" i="49"/>
  <c r="K108" i="49"/>
  <c r="L108" i="49"/>
  <c r="M108" i="49"/>
  <c r="N108" i="49"/>
  <c r="S108" i="49"/>
  <c r="T108" i="49"/>
  <c r="U108" i="49"/>
  <c r="V108" i="49"/>
  <c r="E101" i="49"/>
  <c r="A100" i="49"/>
  <c r="H100" i="49"/>
  <c r="I100" i="49" s="1"/>
  <c r="J100" i="49"/>
  <c r="K100" i="49"/>
  <c r="L100" i="49"/>
  <c r="M100" i="49"/>
  <c r="N100" i="49"/>
  <c r="S100" i="49"/>
  <c r="T100" i="49"/>
  <c r="U100" i="49"/>
  <c r="V100" i="49"/>
  <c r="A99" i="49"/>
  <c r="H99" i="49"/>
  <c r="I99" i="49" s="1"/>
  <c r="J99" i="49"/>
  <c r="K99" i="49"/>
  <c r="L99" i="49"/>
  <c r="M99" i="49"/>
  <c r="N99" i="49"/>
  <c r="S99" i="49"/>
  <c r="T99" i="49"/>
  <c r="U99" i="49"/>
  <c r="V99" i="49"/>
  <c r="A98" i="49"/>
  <c r="H98" i="49"/>
  <c r="I98" i="49" s="1"/>
  <c r="J98" i="49"/>
  <c r="K98" i="49"/>
  <c r="L98" i="49"/>
  <c r="M98" i="49"/>
  <c r="N98" i="49"/>
  <c r="S98" i="49"/>
  <c r="T98" i="49"/>
  <c r="U98" i="49"/>
  <c r="V98" i="49"/>
  <c r="A97" i="49"/>
  <c r="H97" i="49"/>
  <c r="I97" i="49" s="1"/>
  <c r="J97" i="49"/>
  <c r="K97" i="49"/>
  <c r="L97" i="49"/>
  <c r="M97" i="49"/>
  <c r="N97" i="49"/>
  <c r="S97" i="49"/>
  <c r="T97" i="49"/>
  <c r="U97" i="49"/>
  <c r="V97" i="49"/>
  <c r="A96" i="49"/>
  <c r="H96" i="49"/>
  <c r="I96" i="49" s="1"/>
  <c r="J96" i="49"/>
  <c r="K96" i="49"/>
  <c r="L96" i="49"/>
  <c r="M96" i="49"/>
  <c r="N96" i="49"/>
  <c r="S96" i="49"/>
  <c r="T96" i="49"/>
  <c r="U96" i="49"/>
  <c r="V96" i="49"/>
  <c r="A95" i="49"/>
  <c r="H95" i="49"/>
  <c r="I95" i="49" s="1"/>
  <c r="J95" i="49"/>
  <c r="K95" i="49"/>
  <c r="L95" i="49"/>
  <c r="M95" i="49"/>
  <c r="N95" i="49"/>
  <c r="S95" i="49"/>
  <c r="T95" i="49"/>
  <c r="U95" i="49"/>
  <c r="V95" i="49"/>
  <c r="A94" i="49"/>
  <c r="H94" i="49"/>
  <c r="I94" i="49" s="1"/>
  <c r="J94" i="49"/>
  <c r="K94" i="49"/>
  <c r="L94" i="49"/>
  <c r="M94" i="49"/>
  <c r="N94" i="49"/>
  <c r="S94" i="49"/>
  <c r="T94" i="49"/>
  <c r="U94" i="49"/>
  <c r="V94" i="49"/>
  <c r="A93" i="49"/>
  <c r="H93" i="49"/>
  <c r="I93" i="49" s="1"/>
  <c r="J93" i="49"/>
  <c r="K93" i="49"/>
  <c r="L93" i="49"/>
  <c r="M93" i="49"/>
  <c r="N93" i="49"/>
  <c r="S93" i="49"/>
  <c r="T93" i="49"/>
  <c r="U93" i="49"/>
  <c r="V93" i="49"/>
  <c r="A92" i="49"/>
  <c r="H92" i="49"/>
  <c r="I92" i="49" s="1"/>
  <c r="J92" i="49"/>
  <c r="K92" i="49"/>
  <c r="L92" i="49"/>
  <c r="M92" i="49"/>
  <c r="N92" i="49"/>
  <c r="S92" i="49"/>
  <c r="T92" i="49"/>
  <c r="U92" i="49"/>
  <c r="V92" i="49"/>
  <c r="E85" i="49"/>
  <c r="A84" i="49"/>
  <c r="H84" i="49"/>
  <c r="I84" i="49" s="1"/>
  <c r="J84" i="49"/>
  <c r="K84" i="49"/>
  <c r="L84" i="49"/>
  <c r="M84" i="49"/>
  <c r="N84" i="49"/>
  <c r="S84" i="49"/>
  <c r="T84" i="49"/>
  <c r="U84" i="49"/>
  <c r="V84" i="49"/>
  <c r="A83" i="49"/>
  <c r="H83" i="49"/>
  <c r="I83" i="49" s="1"/>
  <c r="J83" i="49"/>
  <c r="K83" i="49"/>
  <c r="L83" i="49"/>
  <c r="M83" i="49"/>
  <c r="N83" i="49"/>
  <c r="S83" i="49"/>
  <c r="T83" i="49"/>
  <c r="U83" i="49"/>
  <c r="V83" i="49"/>
  <c r="A82" i="49"/>
  <c r="H82" i="49"/>
  <c r="I82" i="49" s="1"/>
  <c r="J82" i="49"/>
  <c r="K82" i="49"/>
  <c r="L82" i="49"/>
  <c r="M82" i="49"/>
  <c r="N82" i="49"/>
  <c r="S82" i="49"/>
  <c r="T82" i="49"/>
  <c r="U82" i="49"/>
  <c r="V82" i="49"/>
  <c r="A81" i="49"/>
  <c r="H81" i="49"/>
  <c r="I81" i="49" s="1"/>
  <c r="J81" i="49"/>
  <c r="K81" i="49"/>
  <c r="L81" i="49"/>
  <c r="M81" i="49"/>
  <c r="N81" i="49"/>
  <c r="S81" i="49"/>
  <c r="T81" i="49"/>
  <c r="U81" i="49"/>
  <c r="V81" i="49"/>
  <c r="A80" i="49"/>
  <c r="H80" i="49"/>
  <c r="I80" i="49" s="1"/>
  <c r="J80" i="49"/>
  <c r="K80" i="49"/>
  <c r="L80" i="49"/>
  <c r="M80" i="49"/>
  <c r="N80" i="49"/>
  <c r="S80" i="49"/>
  <c r="T80" i="49"/>
  <c r="U80" i="49"/>
  <c r="V80" i="49"/>
  <c r="A79" i="49"/>
  <c r="H79" i="49"/>
  <c r="I79" i="49" s="1"/>
  <c r="J79" i="49"/>
  <c r="K79" i="49"/>
  <c r="L79" i="49"/>
  <c r="M79" i="49"/>
  <c r="N79" i="49"/>
  <c r="S79" i="49"/>
  <c r="T79" i="49"/>
  <c r="U79" i="49"/>
  <c r="V79" i="49"/>
  <c r="A78" i="49"/>
  <c r="H78" i="49"/>
  <c r="I78" i="49" s="1"/>
  <c r="J78" i="49"/>
  <c r="K78" i="49"/>
  <c r="L78" i="49"/>
  <c r="M78" i="49"/>
  <c r="N78" i="49"/>
  <c r="S78" i="49"/>
  <c r="T78" i="49"/>
  <c r="U78" i="49"/>
  <c r="V78" i="49"/>
  <c r="A77" i="49"/>
  <c r="H77" i="49"/>
  <c r="I77" i="49" s="1"/>
  <c r="J77" i="49"/>
  <c r="K77" i="49"/>
  <c r="L77" i="49"/>
  <c r="M77" i="49"/>
  <c r="N77" i="49"/>
  <c r="S77" i="49"/>
  <c r="T77" i="49"/>
  <c r="U77" i="49"/>
  <c r="V77" i="49"/>
  <c r="A76" i="49"/>
  <c r="H76" i="49"/>
  <c r="I76" i="49" s="1"/>
  <c r="J76" i="49"/>
  <c r="K76" i="49"/>
  <c r="L76" i="49"/>
  <c r="M76" i="49"/>
  <c r="N76" i="49"/>
  <c r="S76" i="49"/>
  <c r="T76" i="49"/>
  <c r="U76" i="49"/>
  <c r="V76" i="49"/>
  <c r="E69" i="49"/>
  <c r="A68" i="49"/>
  <c r="H68" i="49"/>
  <c r="I68" i="49" s="1"/>
  <c r="J68" i="49"/>
  <c r="K68" i="49"/>
  <c r="L68" i="49"/>
  <c r="M68" i="49"/>
  <c r="N68" i="49"/>
  <c r="S68" i="49"/>
  <c r="T68" i="49"/>
  <c r="U68" i="49"/>
  <c r="V68" i="49"/>
  <c r="A67" i="49"/>
  <c r="H67" i="49"/>
  <c r="I67" i="49" s="1"/>
  <c r="J67" i="49"/>
  <c r="K67" i="49"/>
  <c r="L67" i="49"/>
  <c r="M67" i="49"/>
  <c r="N67" i="49"/>
  <c r="S67" i="49"/>
  <c r="T67" i="49"/>
  <c r="U67" i="49"/>
  <c r="V67" i="49"/>
  <c r="A66" i="49"/>
  <c r="H66" i="49"/>
  <c r="I66" i="49" s="1"/>
  <c r="J66" i="49"/>
  <c r="K66" i="49"/>
  <c r="L66" i="49"/>
  <c r="M66" i="49"/>
  <c r="N66" i="49"/>
  <c r="S66" i="49"/>
  <c r="T66" i="49"/>
  <c r="U66" i="49"/>
  <c r="V66" i="49"/>
  <c r="A65" i="49"/>
  <c r="H65" i="49"/>
  <c r="I65" i="49" s="1"/>
  <c r="J65" i="49"/>
  <c r="K65" i="49"/>
  <c r="L65" i="49"/>
  <c r="M65" i="49"/>
  <c r="N65" i="49"/>
  <c r="S65" i="49"/>
  <c r="T65" i="49"/>
  <c r="U65" i="49"/>
  <c r="V65" i="49"/>
  <c r="A64" i="49"/>
  <c r="H64" i="49"/>
  <c r="I64" i="49" s="1"/>
  <c r="J64" i="49"/>
  <c r="K64" i="49"/>
  <c r="L64" i="49"/>
  <c r="M64" i="49"/>
  <c r="N64" i="49"/>
  <c r="S64" i="49"/>
  <c r="T64" i="49"/>
  <c r="U64" i="49"/>
  <c r="V64" i="49"/>
  <c r="A63" i="49"/>
  <c r="H63" i="49"/>
  <c r="I63" i="49" s="1"/>
  <c r="J63" i="49"/>
  <c r="K63" i="49"/>
  <c r="L63" i="49"/>
  <c r="M63" i="49"/>
  <c r="N63" i="49"/>
  <c r="S63" i="49"/>
  <c r="T63" i="49"/>
  <c r="U63" i="49"/>
  <c r="V63" i="49"/>
  <c r="A62" i="49"/>
  <c r="H62" i="49"/>
  <c r="I62" i="49" s="1"/>
  <c r="J62" i="49"/>
  <c r="K62" i="49"/>
  <c r="L62" i="49"/>
  <c r="M62" i="49"/>
  <c r="N62" i="49"/>
  <c r="S62" i="49"/>
  <c r="T62" i="49"/>
  <c r="U62" i="49"/>
  <c r="V62" i="49"/>
  <c r="A61" i="49"/>
  <c r="H61" i="49"/>
  <c r="I61" i="49" s="1"/>
  <c r="J61" i="49"/>
  <c r="K61" i="49"/>
  <c r="L61" i="49"/>
  <c r="M61" i="49"/>
  <c r="N61" i="49"/>
  <c r="S61" i="49"/>
  <c r="T61" i="49"/>
  <c r="U61" i="49"/>
  <c r="V61" i="49"/>
  <c r="A60" i="49"/>
  <c r="H60" i="49"/>
  <c r="I60" i="49" s="1"/>
  <c r="J60" i="49"/>
  <c r="K60" i="49"/>
  <c r="L60" i="49"/>
  <c r="M60" i="49"/>
  <c r="N60" i="49"/>
  <c r="S60" i="49"/>
  <c r="T60" i="49"/>
  <c r="U60" i="49"/>
  <c r="V60" i="49"/>
  <c r="E53" i="49"/>
  <c r="A52" i="49"/>
  <c r="H52" i="49"/>
  <c r="I52" i="49" s="1"/>
  <c r="J52" i="49"/>
  <c r="K52" i="49"/>
  <c r="L52" i="49"/>
  <c r="M52" i="49"/>
  <c r="N52" i="49"/>
  <c r="S52" i="49"/>
  <c r="T52" i="49"/>
  <c r="U52" i="49"/>
  <c r="V52" i="49"/>
  <c r="A51" i="49"/>
  <c r="H51" i="49"/>
  <c r="I51" i="49" s="1"/>
  <c r="J51" i="49"/>
  <c r="K51" i="49"/>
  <c r="L51" i="49"/>
  <c r="M51" i="49"/>
  <c r="N51" i="49"/>
  <c r="S51" i="49"/>
  <c r="T51" i="49"/>
  <c r="U51" i="49"/>
  <c r="V51" i="49"/>
  <c r="A50" i="49"/>
  <c r="H50" i="49"/>
  <c r="I50" i="49" s="1"/>
  <c r="J50" i="49"/>
  <c r="K50" i="49"/>
  <c r="L50" i="49"/>
  <c r="M50" i="49"/>
  <c r="N50" i="49"/>
  <c r="S50" i="49"/>
  <c r="T50" i="49"/>
  <c r="U50" i="49"/>
  <c r="V50" i="49"/>
  <c r="A49" i="49"/>
  <c r="H49" i="49"/>
  <c r="I49" i="49" s="1"/>
  <c r="J49" i="49"/>
  <c r="K49" i="49"/>
  <c r="L49" i="49"/>
  <c r="M49" i="49"/>
  <c r="N49" i="49"/>
  <c r="S49" i="49"/>
  <c r="T49" i="49"/>
  <c r="U49" i="49"/>
  <c r="V49" i="49"/>
  <c r="A48" i="49"/>
  <c r="H48" i="49"/>
  <c r="I48" i="49" s="1"/>
  <c r="J48" i="49"/>
  <c r="K48" i="49"/>
  <c r="L48" i="49"/>
  <c r="M48" i="49"/>
  <c r="N48" i="49"/>
  <c r="S48" i="49"/>
  <c r="T48" i="49"/>
  <c r="U48" i="49"/>
  <c r="V48" i="49"/>
  <c r="A47" i="49"/>
  <c r="H47" i="49"/>
  <c r="I47" i="49" s="1"/>
  <c r="J47" i="49"/>
  <c r="K47" i="49"/>
  <c r="L47" i="49"/>
  <c r="M47" i="49"/>
  <c r="N47" i="49"/>
  <c r="S47" i="49"/>
  <c r="T47" i="49"/>
  <c r="U47" i="49"/>
  <c r="V47" i="49"/>
  <c r="A46" i="49"/>
  <c r="H46" i="49"/>
  <c r="I46" i="49" s="1"/>
  <c r="J46" i="49"/>
  <c r="K46" i="49"/>
  <c r="L46" i="49"/>
  <c r="M46" i="49"/>
  <c r="N46" i="49"/>
  <c r="S46" i="49"/>
  <c r="T46" i="49"/>
  <c r="U46" i="49"/>
  <c r="V46" i="49"/>
  <c r="A45" i="49"/>
  <c r="H45" i="49"/>
  <c r="I45" i="49" s="1"/>
  <c r="J45" i="49"/>
  <c r="K45" i="49"/>
  <c r="L45" i="49"/>
  <c r="M45" i="49"/>
  <c r="N45" i="49"/>
  <c r="S45" i="49"/>
  <c r="T45" i="49"/>
  <c r="U45" i="49"/>
  <c r="V45" i="49"/>
  <c r="A44" i="49"/>
  <c r="H44" i="49"/>
  <c r="I44" i="49" s="1"/>
  <c r="J44" i="49"/>
  <c r="K44" i="49"/>
  <c r="L44" i="49"/>
  <c r="M44" i="49"/>
  <c r="N44" i="49"/>
  <c r="S44" i="49"/>
  <c r="T44" i="49"/>
  <c r="U44" i="49"/>
  <c r="V44" i="49"/>
  <c r="E37" i="49"/>
  <c r="A36" i="49"/>
  <c r="H36" i="49"/>
  <c r="I36" i="49" s="1"/>
  <c r="J36" i="49"/>
  <c r="K36" i="49"/>
  <c r="L36" i="49"/>
  <c r="M36" i="49"/>
  <c r="N36" i="49"/>
  <c r="S36" i="49"/>
  <c r="T36" i="49"/>
  <c r="U36" i="49"/>
  <c r="V36" i="49"/>
  <c r="A35" i="49"/>
  <c r="H35" i="49"/>
  <c r="I35" i="49" s="1"/>
  <c r="J35" i="49"/>
  <c r="K35" i="49"/>
  <c r="L35" i="49"/>
  <c r="M35" i="49"/>
  <c r="N35" i="49"/>
  <c r="S35" i="49"/>
  <c r="T35" i="49"/>
  <c r="U35" i="49"/>
  <c r="V35" i="49"/>
  <c r="A34" i="49"/>
  <c r="H34" i="49"/>
  <c r="I34" i="49" s="1"/>
  <c r="J34" i="49"/>
  <c r="K34" i="49"/>
  <c r="L34" i="49"/>
  <c r="M34" i="49"/>
  <c r="N34" i="49"/>
  <c r="S34" i="49"/>
  <c r="T34" i="49"/>
  <c r="U34" i="49"/>
  <c r="V34" i="49"/>
  <c r="A33" i="49"/>
  <c r="H33" i="49"/>
  <c r="I33" i="49" s="1"/>
  <c r="J33" i="49"/>
  <c r="K33" i="49"/>
  <c r="L33" i="49"/>
  <c r="M33" i="49"/>
  <c r="N33" i="49"/>
  <c r="S33" i="49"/>
  <c r="T33" i="49"/>
  <c r="U33" i="49"/>
  <c r="V33" i="49"/>
  <c r="A32" i="49"/>
  <c r="H32" i="49"/>
  <c r="I32" i="49" s="1"/>
  <c r="J32" i="49"/>
  <c r="K32" i="49"/>
  <c r="L32" i="49"/>
  <c r="M32" i="49"/>
  <c r="N32" i="49"/>
  <c r="S32" i="49"/>
  <c r="T32" i="49"/>
  <c r="U32" i="49"/>
  <c r="V32" i="49"/>
  <c r="A31" i="49"/>
  <c r="H31" i="49"/>
  <c r="I31" i="49" s="1"/>
  <c r="J31" i="49"/>
  <c r="K31" i="49"/>
  <c r="L31" i="49"/>
  <c r="M31" i="49"/>
  <c r="N31" i="49"/>
  <c r="S31" i="49"/>
  <c r="T31" i="49"/>
  <c r="U31" i="49"/>
  <c r="V31" i="49"/>
  <c r="A30" i="49"/>
  <c r="H30" i="49"/>
  <c r="I30" i="49" s="1"/>
  <c r="J30" i="49"/>
  <c r="K30" i="49"/>
  <c r="L30" i="49"/>
  <c r="M30" i="49"/>
  <c r="N30" i="49"/>
  <c r="S30" i="49"/>
  <c r="T30" i="49"/>
  <c r="U30" i="49"/>
  <c r="V30" i="49"/>
  <c r="A29" i="49"/>
  <c r="H29" i="49"/>
  <c r="I29" i="49" s="1"/>
  <c r="J29" i="49"/>
  <c r="K29" i="49"/>
  <c r="L29" i="49"/>
  <c r="M29" i="49"/>
  <c r="N29" i="49"/>
  <c r="S29" i="49"/>
  <c r="T29" i="49"/>
  <c r="U29" i="49"/>
  <c r="V29" i="49"/>
  <c r="A28" i="49"/>
  <c r="H28" i="49"/>
  <c r="I28" i="49" s="1"/>
  <c r="J28" i="49"/>
  <c r="K28" i="49"/>
  <c r="L28" i="49"/>
  <c r="M28" i="49"/>
  <c r="N28" i="49"/>
  <c r="S28" i="49"/>
  <c r="T28" i="49"/>
  <c r="U28" i="49"/>
  <c r="V28" i="49"/>
  <c r="C190" i="47"/>
  <c r="A189" i="47"/>
  <c r="H189" i="47"/>
  <c r="I189" i="47" s="1"/>
  <c r="J189" i="47"/>
  <c r="L189" i="47"/>
  <c r="M189" i="47"/>
  <c r="R189" i="47"/>
  <c r="S189" i="47"/>
  <c r="T189" i="47"/>
  <c r="U189" i="47"/>
  <c r="A188" i="47"/>
  <c r="H188" i="47"/>
  <c r="I188" i="47" s="1"/>
  <c r="J188" i="47"/>
  <c r="L188" i="47"/>
  <c r="M188" i="47"/>
  <c r="R188" i="47"/>
  <c r="S188" i="47"/>
  <c r="T188" i="47"/>
  <c r="U188" i="47"/>
  <c r="A187" i="47"/>
  <c r="H187" i="47"/>
  <c r="I187" i="47" s="1"/>
  <c r="J187" i="47"/>
  <c r="L187" i="47"/>
  <c r="M187" i="47"/>
  <c r="R187" i="47"/>
  <c r="S187" i="47"/>
  <c r="T187" i="47"/>
  <c r="U187" i="47"/>
  <c r="A186" i="47"/>
  <c r="H186" i="47"/>
  <c r="I186" i="47" s="1"/>
  <c r="J186" i="47"/>
  <c r="L186" i="47"/>
  <c r="M186" i="47"/>
  <c r="R186" i="47"/>
  <c r="S186" i="47"/>
  <c r="T186" i="47"/>
  <c r="U186" i="47"/>
  <c r="A185" i="47"/>
  <c r="H185" i="47"/>
  <c r="I185" i="47" s="1"/>
  <c r="J185" i="47"/>
  <c r="L185" i="47"/>
  <c r="M185" i="47"/>
  <c r="R185" i="47"/>
  <c r="S185" i="47"/>
  <c r="T185" i="47"/>
  <c r="U185" i="47"/>
  <c r="A184" i="47"/>
  <c r="H184" i="47"/>
  <c r="I184" i="47" s="1"/>
  <c r="J184" i="47"/>
  <c r="L184" i="47"/>
  <c r="M184" i="47"/>
  <c r="R184" i="47"/>
  <c r="S184" i="47"/>
  <c r="T184" i="47"/>
  <c r="U184" i="47"/>
  <c r="A183" i="47"/>
  <c r="H183" i="47"/>
  <c r="I183" i="47" s="1"/>
  <c r="J183" i="47"/>
  <c r="L183" i="47"/>
  <c r="M183" i="47"/>
  <c r="R183" i="47"/>
  <c r="S183" i="47"/>
  <c r="T183" i="47"/>
  <c r="U183" i="47"/>
  <c r="A182" i="47"/>
  <c r="H182" i="47"/>
  <c r="I182" i="47" s="1"/>
  <c r="J182" i="47"/>
  <c r="L182" i="47"/>
  <c r="M182" i="47"/>
  <c r="R182" i="47"/>
  <c r="S182" i="47"/>
  <c r="T182" i="47"/>
  <c r="U182" i="47"/>
  <c r="A181" i="47"/>
  <c r="H181" i="47"/>
  <c r="I181" i="47" s="1"/>
  <c r="J181" i="47"/>
  <c r="L181" i="47"/>
  <c r="M181" i="47"/>
  <c r="R181" i="47"/>
  <c r="S181" i="47"/>
  <c r="T181" i="47"/>
  <c r="U181" i="47"/>
  <c r="C173" i="47"/>
  <c r="A172" i="47"/>
  <c r="H172" i="47"/>
  <c r="I172" i="47" s="1"/>
  <c r="J172" i="47"/>
  <c r="L172" i="47"/>
  <c r="M172" i="47"/>
  <c r="R172" i="47"/>
  <c r="S172" i="47"/>
  <c r="T172" i="47"/>
  <c r="U172" i="47"/>
  <c r="A171" i="47"/>
  <c r="H171" i="47"/>
  <c r="I171" i="47" s="1"/>
  <c r="J171" i="47"/>
  <c r="L171" i="47"/>
  <c r="M171" i="47"/>
  <c r="R171" i="47"/>
  <c r="S171" i="47"/>
  <c r="T171" i="47"/>
  <c r="U171" i="47"/>
  <c r="A170" i="47"/>
  <c r="H170" i="47"/>
  <c r="I170" i="47" s="1"/>
  <c r="J170" i="47"/>
  <c r="L170" i="47"/>
  <c r="M170" i="47"/>
  <c r="R170" i="47"/>
  <c r="S170" i="47"/>
  <c r="T170" i="47"/>
  <c r="U170" i="47"/>
  <c r="A169" i="47"/>
  <c r="H169" i="47"/>
  <c r="I169" i="47" s="1"/>
  <c r="J169" i="47"/>
  <c r="L169" i="47"/>
  <c r="M169" i="47"/>
  <c r="R169" i="47"/>
  <c r="S169" i="47"/>
  <c r="T169" i="47"/>
  <c r="U169" i="47"/>
  <c r="A168" i="47"/>
  <c r="H168" i="47"/>
  <c r="I168" i="47" s="1"/>
  <c r="J168" i="47"/>
  <c r="L168" i="47"/>
  <c r="M168" i="47"/>
  <c r="R168" i="47"/>
  <c r="S168" i="47"/>
  <c r="T168" i="47"/>
  <c r="U168" i="47"/>
  <c r="A167" i="47"/>
  <c r="H167" i="47"/>
  <c r="I167" i="47" s="1"/>
  <c r="J167" i="47"/>
  <c r="L167" i="47"/>
  <c r="M167" i="47"/>
  <c r="R167" i="47"/>
  <c r="S167" i="47"/>
  <c r="T167" i="47"/>
  <c r="U167" i="47"/>
  <c r="A166" i="47"/>
  <c r="H166" i="47"/>
  <c r="I166" i="47" s="1"/>
  <c r="J166" i="47"/>
  <c r="L166" i="47"/>
  <c r="M166" i="47"/>
  <c r="R166" i="47"/>
  <c r="S166" i="47"/>
  <c r="T166" i="47"/>
  <c r="U166" i="47"/>
  <c r="A165" i="47"/>
  <c r="H165" i="47"/>
  <c r="I165" i="47" s="1"/>
  <c r="J165" i="47"/>
  <c r="L165" i="47"/>
  <c r="M165" i="47"/>
  <c r="R165" i="47"/>
  <c r="S165" i="47"/>
  <c r="T165" i="47"/>
  <c r="U165" i="47"/>
  <c r="A164" i="47"/>
  <c r="H164" i="47"/>
  <c r="I164" i="47" s="1"/>
  <c r="J164" i="47"/>
  <c r="L164" i="47"/>
  <c r="M164" i="47"/>
  <c r="R164" i="47"/>
  <c r="S164" i="47"/>
  <c r="T164" i="47"/>
  <c r="U164" i="47"/>
  <c r="C156" i="47"/>
  <c r="A155" i="47"/>
  <c r="H155" i="47"/>
  <c r="I155" i="47" s="1"/>
  <c r="J155" i="47"/>
  <c r="L155" i="47"/>
  <c r="M155" i="47"/>
  <c r="R155" i="47"/>
  <c r="S155" i="47"/>
  <c r="T155" i="47"/>
  <c r="U155" i="47"/>
  <c r="A154" i="47"/>
  <c r="H154" i="47"/>
  <c r="I154" i="47" s="1"/>
  <c r="J154" i="47"/>
  <c r="L154" i="47"/>
  <c r="M154" i="47"/>
  <c r="R154" i="47"/>
  <c r="S154" i="47"/>
  <c r="T154" i="47"/>
  <c r="U154" i="47"/>
  <c r="A153" i="47"/>
  <c r="H153" i="47"/>
  <c r="I153" i="47" s="1"/>
  <c r="J153" i="47"/>
  <c r="L153" i="47"/>
  <c r="M153" i="47"/>
  <c r="R153" i="47"/>
  <c r="S153" i="47"/>
  <c r="T153" i="47"/>
  <c r="U153" i="47"/>
  <c r="A152" i="47"/>
  <c r="H152" i="47"/>
  <c r="I152" i="47" s="1"/>
  <c r="J152" i="47"/>
  <c r="L152" i="47"/>
  <c r="M152" i="47"/>
  <c r="R152" i="47"/>
  <c r="S152" i="47"/>
  <c r="T152" i="47"/>
  <c r="U152" i="47"/>
  <c r="A151" i="47"/>
  <c r="H151" i="47"/>
  <c r="I151" i="47" s="1"/>
  <c r="J151" i="47"/>
  <c r="L151" i="47"/>
  <c r="M151" i="47"/>
  <c r="R151" i="47"/>
  <c r="S151" i="47"/>
  <c r="T151" i="47"/>
  <c r="U151" i="47"/>
  <c r="A150" i="47"/>
  <c r="H150" i="47"/>
  <c r="I150" i="47" s="1"/>
  <c r="J150" i="47"/>
  <c r="L150" i="47"/>
  <c r="M150" i="47"/>
  <c r="R150" i="47"/>
  <c r="S150" i="47"/>
  <c r="T150" i="47"/>
  <c r="U150" i="47"/>
  <c r="A149" i="47"/>
  <c r="H149" i="47"/>
  <c r="I149" i="47" s="1"/>
  <c r="J149" i="47"/>
  <c r="L149" i="47"/>
  <c r="M149" i="47"/>
  <c r="R149" i="47"/>
  <c r="S149" i="47"/>
  <c r="T149" i="47"/>
  <c r="U149" i="47"/>
  <c r="A148" i="47"/>
  <c r="H148" i="47"/>
  <c r="I148" i="47" s="1"/>
  <c r="J148" i="47"/>
  <c r="L148" i="47"/>
  <c r="M148" i="47"/>
  <c r="R148" i="47"/>
  <c r="S148" i="47"/>
  <c r="T148" i="47"/>
  <c r="U148" i="47"/>
  <c r="A147" i="47"/>
  <c r="H147" i="47"/>
  <c r="I147" i="47" s="1"/>
  <c r="J147" i="47"/>
  <c r="L147" i="47"/>
  <c r="M147" i="47"/>
  <c r="R147" i="47"/>
  <c r="S147" i="47"/>
  <c r="T147" i="47"/>
  <c r="U147" i="47"/>
  <c r="C139" i="47"/>
  <c r="A138" i="47"/>
  <c r="H138" i="47"/>
  <c r="I138" i="47" s="1"/>
  <c r="J138" i="47"/>
  <c r="L138" i="47"/>
  <c r="M138" i="47"/>
  <c r="R138" i="47"/>
  <c r="S138" i="47"/>
  <c r="T138" i="47"/>
  <c r="U138" i="47"/>
  <c r="A137" i="47"/>
  <c r="H137" i="47"/>
  <c r="I137" i="47" s="1"/>
  <c r="J137" i="47"/>
  <c r="L137" i="47"/>
  <c r="M137" i="47"/>
  <c r="R137" i="47"/>
  <c r="S137" i="47"/>
  <c r="T137" i="47"/>
  <c r="U137" i="47"/>
  <c r="A136" i="47"/>
  <c r="H136" i="47"/>
  <c r="I136" i="47" s="1"/>
  <c r="J136" i="47"/>
  <c r="L136" i="47"/>
  <c r="M136" i="47"/>
  <c r="R136" i="47"/>
  <c r="S136" i="47"/>
  <c r="T136" i="47"/>
  <c r="U136" i="47"/>
  <c r="A135" i="47"/>
  <c r="H135" i="47"/>
  <c r="I135" i="47" s="1"/>
  <c r="J135" i="47"/>
  <c r="L135" i="47"/>
  <c r="M135" i="47"/>
  <c r="R135" i="47"/>
  <c r="S135" i="47"/>
  <c r="T135" i="47"/>
  <c r="U135" i="47"/>
  <c r="A134" i="47"/>
  <c r="H134" i="47"/>
  <c r="I134" i="47" s="1"/>
  <c r="J134" i="47"/>
  <c r="L134" i="47"/>
  <c r="M134" i="47"/>
  <c r="R134" i="47"/>
  <c r="S134" i="47"/>
  <c r="T134" i="47"/>
  <c r="U134" i="47"/>
  <c r="A133" i="47"/>
  <c r="H133" i="47"/>
  <c r="I133" i="47" s="1"/>
  <c r="J133" i="47"/>
  <c r="L133" i="47"/>
  <c r="M133" i="47"/>
  <c r="R133" i="47"/>
  <c r="S133" i="47"/>
  <c r="T133" i="47"/>
  <c r="U133" i="47"/>
  <c r="A132" i="47"/>
  <c r="H132" i="47"/>
  <c r="I132" i="47" s="1"/>
  <c r="J132" i="47"/>
  <c r="L132" i="47"/>
  <c r="M132" i="47"/>
  <c r="R132" i="47"/>
  <c r="S132" i="47"/>
  <c r="T132" i="47"/>
  <c r="U132" i="47"/>
  <c r="A131" i="47"/>
  <c r="H131" i="47"/>
  <c r="I131" i="47" s="1"/>
  <c r="J131" i="47"/>
  <c r="L131" i="47"/>
  <c r="M131" i="47"/>
  <c r="R131" i="47"/>
  <c r="S131" i="47"/>
  <c r="T131" i="47"/>
  <c r="U131" i="47"/>
  <c r="A130" i="47"/>
  <c r="H130" i="47"/>
  <c r="I130" i="47" s="1"/>
  <c r="J130" i="47"/>
  <c r="L130" i="47"/>
  <c r="M130" i="47"/>
  <c r="R130" i="47"/>
  <c r="S130" i="47"/>
  <c r="T130" i="47"/>
  <c r="U130" i="47"/>
  <c r="C122" i="47"/>
  <c r="A121" i="47"/>
  <c r="H121" i="47"/>
  <c r="I121" i="47" s="1"/>
  <c r="J121" i="47"/>
  <c r="L121" i="47"/>
  <c r="M121" i="47"/>
  <c r="R121" i="47"/>
  <c r="S121" i="47"/>
  <c r="T121" i="47"/>
  <c r="U121" i="47"/>
  <c r="A120" i="47"/>
  <c r="H120" i="47"/>
  <c r="I120" i="47" s="1"/>
  <c r="J120" i="47"/>
  <c r="L120" i="47"/>
  <c r="M120" i="47"/>
  <c r="R120" i="47"/>
  <c r="S120" i="47"/>
  <c r="T120" i="47"/>
  <c r="U120" i="47"/>
  <c r="A119" i="47"/>
  <c r="H119" i="47"/>
  <c r="I119" i="47" s="1"/>
  <c r="J119" i="47"/>
  <c r="L119" i="47"/>
  <c r="M119" i="47"/>
  <c r="R119" i="47"/>
  <c r="S119" i="47"/>
  <c r="T119" i="47"/>
  <c r="U119" i="47"/>
  <c r="A118" i="47"/>
  <c r="H118" i="47"/>
  <c r="I118" i="47" s="1"/>
  <c r="J118" i="47"/>
  <c r="L118" i="47"/>
  <c r="M118" i="47"/>
  <c r="R118" i="47"/>
  <c r="S118" i="47"/>
  <c r="T118" i="47"/>
  <c r="U118" i="47"/>
  <c r="A117" i="47"/>
  <c r="H117" i="47"/>
  <c r="I117" i="47" s="1"/>
  <c r="J117" i="47"/>
  <c r="L117" i="47"/>
  <c r="M117" i="47"/>
  <c r="R117" i="47"/>
  <c r="S117" i="47"/>
  <c r="T117" i="47"/>
  <c r="U117" i="47"/>
  <c r="A116" i="47"/>
  <c r="H116" i="47"/>
  <c r="I116" i="47" s="1"/>
  <c r="J116" i="47"/>
  <c r="L116" i="47"/>
  <c r="M116" i="47"/>
  <c r="R116" i="47"/>
  <c r="S116" i="47"/>
  <c r="T116" i="47"/>
  <c r="U116" i="47"/>
  <c r="A115" i="47"/>
  <c r="H115" i="47"/>
  <c r="I115" i="47" s="1"/>
  <c r="J115" i="47"/>
  <c r="L115" i="47"/>
  <c r="M115" i="47"/>
  <c r="R115" i="47"/>
  <c r="S115" i="47"/>
  <c r="T115" i="47"/>
  <c r="U115" i="47"/>
  <c r="A114" i="47"/>
  <c r="H114" i="47"/>
  <c r="I114" i="47" s="1"/>
  <c r="J114" i="47"/>
  <c r="L114" i="47"/>
  <c r="M114" i="47"/>
  <c r="R114" i="47"/>
  <c r="S114" i="47"/>
  <c r="T114" i="47"/>
  <c r="U114" i="47"/>
  <c r="A113" i="47"/>
  <c r="H113" i="47"/>
  <c r="I113" i="47" s="1"/>
  <c r="J113" i="47"/>
  <c r="L113" i="47"/>
  <c r="M113" i="47"/>
  <c r="R113" i="47"/>
  <c r="S113" i="47"/>
  <c r="T113" i="47"/>
  <c r="U113" i="47"/>
  <c r="C105" i="47"/>
  <c r="A104" i="47"/>
  <c r="H104" i="47"/>
  <c r="I104" i="47" s="1"/>
  <c r="J104" i="47"/>
  <c r="L104" i="47"/>
  <c r="M104" i="47"/>
  <c r="R104" i="47"/>
  <c r="S104" i="47"/>
  <c r="T104" i="47"/>
  <c r="U104" i="47"/>
  <c r="A103" i="47"/>
  <c r="H103" i="47"/>
  <c r="I103" i="47" s="1"/>
  <c r="J103" i="47"/>
  <c r="L103" i="47"/>
  <c r="M103" i="47"/>
  <c r="R103" i="47"/>
  <c r="S103" i="47"/>
  <c r="T103" i="47"/>
  <c r="U103" i="47"/>
  <c r="A102" i="47"/>
  <c r="H102" i="47"/>
  <c r="I102" i="47" s="1"/>
  <c r="J102" i="47"/>
  <c r="L102" i="47"/>
  <c r="M102" i="47"/>
  <c r="R102" i="47"/>
  <c r="S102" i="47"/>
  <c r="T102" i="47"/>
  <c r="U102" i="47"/>
  <c r="A101" i="47"/>
  <c r="H101" i="47"/>
  <c r="I101" i="47" s="1"/>
  <c r="J101" i="47"/>
  <c r="L101" i="47"/>
  <c r="M101" i="47"/>
  <c r="R101" i="47"/>
  <c r="S101" i="47"/>
  <c r="T101" i="47"/>
  <c r="U101" i="47"/>
  <c r="A100" i="47"/>
  <c r="H100" i="47"/>
  <c r="I100" i="47" s="1"/>
  <c r="J100" i="47"/>
  <c r="L100" i="47"/>
  <c r="M100" i="47"/>
  <c r="R100" i="47"/>
  <c r="S100" i="47"/>
  <c r="T100" i="47"/>
  <c r="U100" i="47"/>
  <c r="A99" i="47"/>
  <c r="H99" i="47"/>
  <c r="I99" i="47" s="1"/>
  <c r="J99" i="47"/>
  <c r="L99" i="47"/>
  <c r="M99" i="47"/>
  <c r="R99" i="47"/>
  <c r="S99" i="47"/>
  <c r="T99" i="47"/>
  <c r="U99" i="47"/>
  <c r="A98" i="47"/>
  <c r="H98" i="47"/>
  <c r="I98" i="47" s="1"/>
  <c r="J98" i="47"/>
  <c r="L98" i="47"/>
  <c r="M98" i="47"/>
  <c r="R98" i="47"/>
  <c r="S98" i="47"/>
  <c r="T98" i="47"/>
  <c r="U98" i="47"/>
  <c r="A97" i="47"/>
  <c r="H97" i="47"/>
  <c r="I97" i="47" s="1"/>
  <c r="J97" i="47"/>
  <c r="L97" i="47"/>
  <c r="M97" i="47"/>
  <c r="R97" i="47"/>
  <c r="S97" i="47"/>
  <c r="T97" i="47"/>
  <c r="U97" i="47"/>
  <c r="A96" i="47"/>
  <c r="H96" i="47"/>
  <c r="I96" i="47" s="1"/>
  <c r="J96" i="47"/>
  <c r="L96" i="47"/>
  <c r="M96" i="47"/>
  <c r="R96" i="47"/>
  <c r="S96" i="47"/>
  <c r="T96" i="47"/>
  <c r="U96" i="47"/>
  <c r="C88" i="47"/>
  <c r="A87" i="47"/>
  <c r="H87" i="47"/>
  <c r="I87" i="47" s="1"/>
  <c r="J87" i="47"/>
  <c r="L87" i="47"/>
  <c r="M87" i="47"/>
  <c r="R87" i="47"/>
  <c r="S87" i="47"/>
  <c r="T87" i="47"/>
  <c r="U87" i="47"/>
  <c r="A86" i="47"/>
  <c r="H86" i="47"/>
  <c r="I86" i="47" s="1"/>
  <c r="J86" i="47"/>
  <c r="L86" i="47"/>
  <c r="M86" i="47"/>
  <c r="R86" i="47"/>
  <c r="S86" i="47"/>
  <c r="T86" i="47"/>
  <c r="U86" i="47"/>
  <c r="A85" i="47"/>
  <c r="H85" i="47"/>
  <c r="I85" i="47" s="1"/>
  <c r="J85" i="47"/>
  <c r="L85" i="47"/>
  <c r="M85" i="47"/>
  <c r="R85" i="47"/>
  <c r="S85" i="47"/>
  <c r="T85" i="47"/>
  <c r="U85" i="47"/>
  <c r="A84" i="47"/>
  <c r="H84" i="47"/>
  <c r="I84" i="47" s="1"/>
  <c r="J84" i="47"/>
  <c r="L84" i="47"/>
  <c r="M84" i="47"/>
  <c r="R84" i="47"/>
  <c r="S84" i="47"/>
  <c r="T84" i="47"/>
  <c r="U84" i="47"/>
  <c r="A83" i="47"/>
  <c r="H83" i="47"/>
  <c r="I83" i="47" s="1"/>
  <c r="J83" i="47"/>
  <c r="L83" i="47"/>
  <c r="M83" i="47"/>
  <c r="R83" i="47"/>
  <c r="S83" i="47"/>
  <c r="T83" i="47"/>
  <c r="U83" i="47"/>
  <c r="A82" i="47"/>
  <c r="H82" i="47"/>
  <c r="I82" i="47" s="1"/>
  <c r="J82" i="47"/>
  <c r="L82" i="47"/>
  <c r="M82" i="47"/>
  <c r="R82" i="47"/>
  <c r="S82" i="47"/>
  <c r="T82" i="47"/>
  <c r="U82" i="47"/>
  <c r="A81" i="47"/>
  <c r="H81" i="47"/>
  <c r="I81" i="47" s="1"/>
  <c r="J81" i="47"/>
  <c r="L81" i="47"/>
  <c r="M81" i="47"/>
  <c r="R81" i="47"/>
  <c r="S81" i="47"/>
  <c r="T81" i="47"/>
  <c r="U81" i="47"/>
  <c r="A80" i="47"/>
  <c r="H80" i="47"/>
  <c r="I80" i="47" s="1"/>
  <c r="J80" i="47"/>
  <c r="L80" i="47"/>
  <c r="M80" i="47"/>
  <c r="R80" i="47"/>
  <c r="S80" i="47"/>
  <c r="T80" i="47"/>
  <c r="U80" i="47"/>
  <c r="A79" i="47"/>
  <c r="H79" i="47"/>
  <c r="I79" i="47" s="1"/>
  <c r="J79" i="47"/>
  <c r="L79" i="47"/>
  <c r="M79" i="47"/>
  <c r="R79" i="47"/>
  <c r="S79" i="47"/>
  <c r="T79" i="47"/>
  <c r="U79" i="47"/>
  <c r="C71" i="47"/>
  <c r="A70" i="47"/>
  <c r="H70" i="47"/>
  <c r="I70" i="47" s="1"/>
  <c r="J70" i="47"/>
  <c r="L70" i="47"/>
  <c r="M70" i="47"/>
  <c r="R70" i="47"/>
  <c r="S70" i="47"/>
  <c r="T70" i="47"/>
  <c r="U70" i="47"/>
  <c r="A69" i="47"/>
  <c r="H69" i="47"/>
  <c r="I69" i="47" s="1"/>
  <c r="J69" i="47"/>
  <c r="L69" i="47"/>
  <c r="M69" i="47"/>
  <c r="R69" i="47"/>
  <c r="S69" i="47"/>
  <c r="T69" i="47"/>
  <c r="U69" i="47"/>
  <c r="A68" i="47"/>
  <c r="H68" i="47"/>
  <c r="I68" i="47" s="1"/>
  <c r="J68" i="47"/>
  <c r="L68" i="47"/>
  <c r="M68" i="47"/>
  <c r="R68" i="47"/>
  <c r="S68" i="47"/>
  <c r="T68" i="47"/>
  <c r="U68" i="47"/>
  <c r="A67" i="47"/>
  <c r="H67" i="47"/>
  <c r="I67" i="47" s="1"/>
  <c r="J67" i="47"/>
  <c r="L67" i="47"/>
  <c r="M67" i="47"/>
  <c r="R67" i="47"/>
  <c r="S67" i="47"/>
  <c r="T67" i="47"/>
  <c r="U67" i="47"/>
  <c r="A66" i="47"/>
  <c r="H66" i="47"/>
  <c r="I66" i="47" s="1"/>
  <c r="J66" i="47"/>
  <c r="L66" i="47"/>
  <c r="M66" i="47"/>
  <c r="R66" i="47"/>
  <c r="S66" i="47"/>
  <c r="T66" i="47"/>
  <c r="U66" i="47"/>
  <c r="A65" i="47"/>
  <c r="H65" i="47"/>
  <c r="I65" i="47" s="1"/>
  <c r="J65" i="47"/>
  <c r="L65" i="47"/>
  <c r="M65" i="47"/>
  <c r="R65" i="47"/>
  <c r="S65" i="47"/>
  <c r="T65" i="47"/>
  <c r="U65" i="47"/>
  <c r="A64" i="47"/>
  <c r="H64" i="47"/>
  <c r="I64" i="47" s="1"/>
  <c r="J64" i="47"/>
  <c r="L64" i="47"/>
  <c r="M64" i="47"/>
  <c r="R64" i="47"/>
  <c r="S64" i="47"/>
  <c r="T64" i="47"/>
  <c r="U64" i="47"/>
  <c r="A63" i="47"/>
  <c r="H63" i="47"/>
  <c r="I63" i="47" s="1"/>
  <c r="J63" i="47"/>
  <c r="L63" i="47"/>
  <c r="M63" i="47"/>
  <c r="R63" i="47"/>
  <c r="S63" i="47"/>
  <c r="T63" i="47"/>
  <c r="U63" i="47"/>
  <c r="A62" i="47"/>
  <c r="H62" i="47"/>
  <c r="I62" i="47" s="1"/>
  <c r="J62" i="47"/>
  <c r="L62" i="47"/>
  <c r="M62" i="47"/>
  <c r="R62" i="47"/>
  <c r="S62" i="47"/>
  <c r="T62" i="47"/>
  <c r="U62" i="47"/>
  <c r="C54" i="47"/>
  <c r="A53" i="47"/>
  <c r="H53" i="47"/>
  <c r="I53" i="47" s="1"/>
  <c r="J53" i="47"/>
  <c r="L53" i="47"/>
  <c r="M53" i="47"/>
  <c r="R53" i="47"/>
  <c r="S53" i="47"/>
  <c r="T53" i="47"/>
  <c r="U53" i="47"/>
  <c r="A52" i="47"/>
  <c r="H52" i="47"/>
  <c r="I52" i="47" s="1"/>
  <c r="J52" i="47"/>
  <c r="L52" i="47"/>
  <c r="M52" i="47"/>
  <c r="R52" i="47"/>
  <c r="S52" i="47"/>
  <c r="T52" i="47"/>
  <c r="U52" i="47"/>
  <c r="A51" i="47"/>
  <c r="H51" i="47"/>
  <c r="I51" i="47" s="1"/>
  <c r="J51" i="47"/>
  <c r="L51" i="47"/>
  <c r="M51" i="47"/>
  <c r="R51" i="47"/>
  <c r="S51" i="47"/>
  <c r="T51" i="47"/>
  <c r="U51" i="47"/>
  <c r="A50" i="47"/>
  <c r="H50" i="47"/>
  <c r="I50" i="47" s="1"/>
  <c r="J50" i="47"/>
  <c r="L50" i="47"/>
  <c r="M50" i="47"/>
  <c r="R50" i="47"/>
  <c r="S50" i="47"/>
  <c r="T50" i="47"/>
  <c r="U50" i="47"/>
  <c r="A49" i="47"/>
  <c r="H49" i="47"/>
  <c r="I49" i="47" s="1"/>
  <c r="J49" i="47"/>
  <c r="L49" i="47"/>
  <c r="M49" i="47"/>
  <c r="R49" i="47"/>
  <c r="S49" i="47"/>
  <c r="T49" i="47"/>
  <c r="U49" i="47"/>
  <c r="A48" i="47"/>
  <c r="H48" i="47"/>
  <c r="I48" i="47" s="1"/>
  <c r="J48" i="47"/>
  <c r="L48" i="47"/>
  <c r="M48" i="47"/>
  <c r="R48" i="47"/>
  <c r="S48" i="47"/>
  <c r="T48" i="47"/>
  <c r="U48" i="47"/>
  <c r="A47" i="47"/>
  <c r="H47" i="47"/>
  <c r="I47" i="47" s="1"/>
  <c r="J47" i="47"/>
  <c r="L47" i="47"/>
  <c r="M47" i="47"/>
  <c r="R47" i="47"/>
  <c r="S47" i="47"/>
  <c r="T47" i="47"/>
  <c r="U47" i="47"/>
  <c r="A46" i="47"/>
  <c r="H46" i="47"/>
  <c r="I46" i="47" s="1"/>
  <c r="J46" i="47"/>
  <c r="L46" i="47"/>
  <c r="M46" i="47"/>
  <c r="R46" i="47"/>
  <c r="S46" i="47"/>
  <c r="T46" i="47"/>
  <c r="U46" i="47"/>
  <c r="A45" i="47"/>
  <c r="H45" i="47"/>
  <c r="I45" i="47" s="1"/>
  <c r="J45" i="47"/>
  <c r="L45" i="47"/>
  <c r="M45" i="47"/>
  <c r="R45" i="47"/>
  <c r="S45" i="47"/>
  <c r="T45" i="47"/>
  <c r="U45" i="47"/>
  <c r="C37" i="47"/>
  <c r="A36" i="47"/>
  <c r="H36" i="47"/>
  <c r="I36" i="47" s="1"/>
  <c r="J36" i="47"/>
  <c r="L36" i="47"/>
  <c r="M36" i="47"/>
  <c r="R36" i="47"/>
  <c r="S36" i="47"/>
  <c r="T36" i="47"/>
  <c r="U36" i="47"/>
  <c r="A35" i="47"/>
  <c r="H35" i="47"/>
  <c r="I35" i="47" s="1"/>
  <c r="J35" i="47"/>
  <c r="L35" i="47"/>
  <c r="M35" i="47"/>
  <c r="R35" i="47"/>
  <c r="S35" i="47"/>
  <c r="T35" i="47"/>
  <c r="U35" i="47"/>
  <c r="A34" i="47"/>
  <c r="H34" i="47"/>
  <c r="I34" i="47" s="1"/>
  <c r="J34" i="47"/>
  <c r="L34" i="47"/>
  <c r="M34" i="47"/>
  <c r="R34" i="47"/>
  <c r="S34" i="47"/>
  <c r="T34" i="47"/>
  <c r="U34" i="47"/>
  <c r="A33" i="47"/>
  <c r="H33" i="47"/>
  <c r="I33" i="47" s="1"/>
  <c r="J33" i="47"/>
  <c r="L33" i="47"/>
  <c r="M33" i="47"/>
  <c r="R33" i="47"/>
  <c r="S33" i="47"/>
  <c r="T33" i="47"/>
  <c r="U33" i="47"/>
  <c r="A32" i="47"/>
  <c r="H32" i="47"/>
  <c r="I32" i="47" s="1"/>
  <c r="J32" i="47"/>
  <c r="L32" i="47"/>
  <c r="M32" i="47"/>
  <c r="R32" i="47"/>
  <c r="S32" i="47"/>
  <c r="T32" i="47"/>
  <c r="U32" i="47"/>
  <c r="A31" i="47"/>
  <c r="H31" i="47"/>
  <c r="I31" i="47" s="1"/>
  <c r="J31" i="47"/>
  <c r="L31" i="47"/>
  <c r="M31" i="47"/>
  <c r="R31" i="47"/>
  <c r="S31" i="47"/>
  <c r="T31" i="47"/>
  <c r="U31" i="47"/>
  <c r="A30" i="47"/>
  <c r="H30" i="47"/>
  <c r="I30" i="47" s="1"/>
  <c r="J30" i="47"/>
  <c r="L30" i="47"/>
  <c r="M30" i="47"/>
  <c r="R30" i="47"/>
  <c r="S30" i="47"/>
  <c r="T30" i="47"/>
  <c r="U30" i="47"/>
  <c r="A29" i="47"/>
  <c r="H29" i="47"/>
  <c r="I29" i="47" s="1"/>
  <c r="J29" i="47"/>
  <c r="L29" i="47"/>
  <c r="M29" i="47"/>
  <c r="R29" i="47"/>
  <c r="S29" i="47"/>
  <c r="T29" i="47"/>
  <c r="U29" i="47"/>
  <c r="A28" i="47"/>
  <c r="H28" i="47"/>
  <c r="I28" i="47" s="1"/>
  <c r="J28" i="47"/>
  <c r="L28" i="47"/>
  <c r="M28" i="47"/>
  <c r="R28" i="47"/>
  <c r="S28" i="47"/>
  <c r="T28" i="47"/>
  <c r="U28" i="47"/>
  <c r="C198" i="74"/>
  <c r="A197" i="74"/>
  <c r="F197" i="74"/>
  <c r="G197" i="74"/>
  <c r="H197" i="74"/>
  <c r="I197" i="74"/>
  <c r="N197" i="74"/>
  <c r="O197" i="74"/>
  <c r="P197" i="74"/>
  <c r="Q197" i="74"/>
  <c r="R197" i="74"/>
  <c r="S197" i="74"/>
  <c r="T197" i="74"/>
  <c r="U197" i="74"/>
  <c r="A196" i="74"/>
  <c r="F196" i="74"/>
  <c r="G196" i="74"/>
  <c r="H196" i="74"/>
  <c r="I196" i="74"/>
  <c r="N196" i="74"/>
  <c r="O196" i="74"/>
  <c r="P196" i="74"/>
  <c r="Q196" i="74"/>
  <c r="R196" i="74"/>
  <c r="S196" i="74"/>
  <c r="T196" i="74"/>
  <c r="U196" i="74"/>
  <c r="A195" i="74"/>
  <c r="F195" i="74"/>
  <c r="G195" i="74"/>
  <c r="H195" i="74"/>
  <c r="I195" i="74"/>
  <c r="N195" i="74"/>
  <c r="O195" i="74"/>
  <c r="P195" i="74"/>
  <c r="Q195" i="74"/>
  <c r="R195" i="74"/>
  <c r="S195" i="74"/>
  <c r="T195" i="74"/>
  <c r="U195" i="74"/>
  <c r="A194" i="74"/>
  <c r="F194" i="74"/>
  <c r="G194" i="74"/>
  <c r="H194" i="74"/>
  <c r="I194" i="74"/>
  <c r="N194" i="74"/>
  <c r="O194" i="74"/>
  <c r="P194" i="74"/>
  <c r="Q194" i="74"/>
  <c r="R194" i="74"/>
  <c r="S194" i="74"/>
  <c r="T194" i="74"/>
  <c r="U194" i="74"/>
  <c r="A193" i="74"/>
  <c r="F193" i="74"/>
  <c r="G193" i="74"/>
  <c r="H193" i="74"/>
  <c r="I193" i="74"/>
  <c r="N193" i="74"/>
  <c r="O193" i="74"/>
  <c r="P193" i="74"/>
  <c r="Q193" i="74"/>
  <c r="R193" i="74"/>
  <c r="S193" i="74"/>
  <c r="T193" i="74"/>
  <c r="U193" i="74"/>
  <c r="A192" i="74"/>
  <c r="F192" i="74"/>
  <c r="G192" i="74"/>
  <c r="H192" i="74"/>
  <c r="I192" i="74"/>
  <c r="N192" i="74"/>
  <c r="O192" i="74"/>
  <c r="P192" i="74"/>
  <c r="Q192" i="74"/>
  <c r="R192" i="74"/>
  <c r="S192" i="74"/>
  <c r="T192" i="74"/>
  <c r="U192" i="74"/>
  <c r="A191" i="74"/>
  <c r="F191" i="74"/>
  <c r="G191" i="74"/>
  <c r="H191" i="74"/>
  <c r="I191" i="74"/>
  <c r="N191" i="74"/>
  <c r="O191" i="74"/>
  <c r="P191" i="74"/>
  <c r="Q191" i="74"/>
  <c r="R191" i="74"/>
  <c r="S191" i="74"/>
  <c r="T191" i="74"/>
  <c r="U191" i="74"/>
  <c r="A190" i="74"/>
  <c r="F190" i="74"/>
  <c r="G190" i="74"/>
  <c r="H190" i="74"/>
  <c r="I190" i="74"/>
  <c r="N190" i="74"/>
  <c r="O190" i="74"/>
  <c r="P190" i="74"/>
  <c r="Q190" i="74"/>
  <c r="R190" i="74"/>
  <c r="S190" i="74"/>
  <c r="T190" i="74"/>
  <c r="U190" i="74"/>
  <c r="A189" i="74"/>
  <c r="F189" i="74"/>
  <c r="G189" i="74"/>
  <c r="H189" i="74"/>
  <c r="I189" i="74"/>
  <c r="N189" i="74"/>
  <c r="O189" i="74"/>
  <c r="P189" i="74"/>
  <c r="Q189" i="74"/>
  <c r="R189" i="74"/>
  <c r="S189" i="74"/>
  <c r="T189" i="74"/>
  <c r="U189" i="74"/>
  <c r="C181" i="74"/>
  <c r="A180" i="74"/>
  <c r="F180" i="74"/>
  <c r="G180" i="74"/>
  <c r="H180" i="74"/>
  <c r="I180" i="74"/>
  <c r="N180" i="74"/>
  <c r="O180" i="74"/>
  <c r="P180" i="74"/>
  <c r="Q180" i="74"/>
  <c r="R180" i="74"/>
  <c r="S180" i="74"/>
  <c r="T180" i="74"/>
  <c r="U180" i="74"/>
  <c r="A179" i="74"/>
  <c r="F179" i="74"/>
  <c r="G179" i="74"/>
  <c r="H179" i="74"/>
  <c r="I179" i="74"/>
  <c r="N179" i="74"/>
  <c r="O179" i="74"/>
  <c r="P179" i="74"/>
  <c r="Q179" i="74"/>
  <c r="R179" i="74"/>
  <c r="S179" i="74"/>
  <c r="T179" i="74"/>
  <c r="U179" i="74"/>
  <c r="A178" i="74"/>
  <c r="F178" i="74"/>
  <c r="G178" i="74"/>
  <c r="H178" i="74"/>
  <c r="I178" i="74"/>
  <c r="N178" i="74"/>
  <c r="O178" i="74"/>
  <c r="P178" i="74"/>
  <c r="Q178" i="74"/>
  <c r="R178" i="74"/>
  <c r="S178" i="74"/>
  <c r="T178" i="74"/>
  <c r="U178" i="74"/>
  <c r="A177" i="74"/>
  <c r="F177" i="74"/>
  <c r="G177" i="74"/>
  <c r="H177" i="74"/>
  <c r="I177" i="74"/>
  <c r="N177" i="74"/>
  <c r="O177" i="74"/>
  <c r="P177" i="74"/>
  <c r="Q177" i="74"/>
  <c r="R177" i="74"/>
  <c r="S177" i="74"/>
  <c r="T177" i="74"/>
  <c r="U177" i="74"/>
  <c r="A176" i="74"/>
  <c r="F176" i="74"/>
  <c r="G176" i="74"/>
  <c r="H176" i="74"/>
  <c r="I176" i="74"/>
  <c r="N176" i="74"/>
  <c r="O176" i="74"/>
  <c r="P176" i="74"/>
  <c r="Q176" i="74"/>
  <c r="R176" i="74"/>
  <c r="S176" i="74"/>
  <c r="T176" i="74"/>
  <c r="U176" i="74"/>
  <c r="A175" i="74"/>
  <c r="F175" i="74"/>
  <c r="G175" i="74"/>
  <c r="H175" i="74"/>
  <c r="I175" i="74"/>
  <c r="N175" i="74"/>
  <c r="O175" i="74"/>
  <c r="P175" i="74"/>
  <c r="Q175" i="74"/>
  <c r="R175" i="74"/>
  <c r="S175" i="74"/>
  <c r="T175" i="74"/>
  <c r="U175" i="74"/>
  <c r="A174" i="74"/>
  <c r="F174" i="74"/>
  <c r="G174" i="74"/>
  <c r="H174" i="74"/>
  <c r="I174" i="74"/>
  <c r="N174" i="74"/>
  <c r="O174" i="74"/>
  <c r="P174" i="74"/>
  <c r="Q174" i="74"/>
  <c r="R174" i="74"/>
  <c r="S174" i="74"/>
  <c r="T174" i="74"/>
  <c r="U174" i="74"/>
  <c r="A173" i="74"/>
  <c r="F173" i="74"/>
  <c r="G173" i="74"/>
  <c r="H173" i="74"/>
  <c r="I173" i="74"/>
  <c r="N173" i="74"/>
  <c r="O173" i="74"/>
  <c r="P173" i="74"/>
  <c r="Q173" i="74"/>
  <c r="R173" i="74"/>
  <c r="S173" i="74"/>
  <c r="T173" i="74"/>
  <c r="U173" i="74"/>
  <c r="A172" i="74"/>
  <c r="F172" i="74"/>
  <c r="G172" i="74"/>
  <c r="H172" i="74"/>
  <c r="I172" i="74"/>
  <c r="N172" i="74"/>
  <c r="O172" i="74"/>
  <c r="P172" i="74"/>
  <c r="Q172" i="74"/>
  <c r="R172" i="74"/>
  <c r="S172" i="74"/>
  <c r="T172" i="74"/>
  <c r="U172" i="74"/>
  <c r="C164" i="74"/>
  <c r="A163" i="74"/>
  <c r="F163" i="74"/>
  <c r="G163" i="74"/>
  <c r="H163" i="74"/>
  <c r="I163" i="74"/>
  <c r="N163" i="74"/>
  <c r="O163" i="74"/>
  <c r="P163" i="74"/>
  <c r="Q163" i="74"/>
  <c r="R163" i="74"/>
  <c r="S163" i="74"/>
  <c r="T163" i="74"/>
  <c r="U163" i="74"/>
  <c r="A162" i="74"/>
  <c r="F162" i="74"/>
  <c r="G162" i="74"/>
  <c r="H162" i="74"/>
  <c r="I162" i="74"/>
  <c r="N162" i="74"/>
  <c r="O162" i="74"/>
  <c r="P162" i="74"/>
  <c r="Q162" i="74"/>
  <c r="R162" i="74"/>
  <c r="S162" i="74"/>
  <c r="T162" i="74"/>
  <c r="U162" i="74"/>
  <c r="A161" i="74"/>
  <c r="F161" i="74"/>
  <c r="G161" i="74"/>
  <c r="H161" i="74"/>
  <c r="I161" i="74"/>
  <c r="N161" i="74"/>
  <c r="O161" i="74"/>
  <c r="P161" i="74"/>
  <c r="Q161" i="74"/>
  <c r="R161" i="74"/>
  <c r="S161" i="74"/>
  <c r="T161" i="74"/>
  <c r="U161" i="74"/>
  <c r="A160" i="74"/>
  <c r="F160" i="74"/>
  <c r="G160" i="74"/>
  <c r="H160" i="74"/>
  <c r="I160" i="74"/>
  <c r="N160" i="74"/>
  <c r="O160" i="74"/>
  <c r="P160" i="74"/>
  <c r="Q160" i="74"/>
  <c r="R160" i="74"/>
  <c r="S160" i="74"/>
  <c r="T160" i="74"/>
  <c r="U160" i="74"/>
  <c r="A159" i="74"/>
  <c r="F159" i="74"/>
  <c r="G159" i="74"/>
  <c r="H159" i="74"/>
  <c r="I159" i="74"/>
  <c r="N159" i="74"/>
  <c r="O159" i="74"/>
  <c r="P159" i="74"/>
  <c r="Q159" i="74"/>
  <c r="R159" i="74"/>
  <c r="S159" i="74"/>
  <c r="T159" i="74"/>
  <c r="U159" i="74"/>
  <c r="A158" i="74"/>
  <c r="F158" i="74"/>
  <c r="G158" i="74"/>
  <c r="H158" i="74"/>
  <c r="I158" i="74"/>
  <c r="N158" i="74"/>
  <c r="O158" i="74"/>
  <c r="P158" i="74"/>
  <c r="Q158" i="74"/>
  <c r="R158" i="74"/>
  <c r="S158" i="74"/>
  <c r="T158" i="74"/>
  <c r="U158" i="74"/>
  <c r="A157" i="74"/>
  <c r="F157" i="74"/>
  <c r="G157" i="74"/>
  <c r="H157" i="74"/>
  <c r="I157" i="74"/>
  <c r="N157" i="74"/>
  <c r="O157" i="74"/>
  <c r="P157" i="74"/>
  <c r="Q157" i="74"/>
  <c r="R157" i="74"/>
  <c r="S157" i="74"/>
  <c r="T157" i="74"/>
  <c r="U157" i="74"/>
  <c r="A156" i="74"/>
  <c r="F156" i="74"/>
  <c r="G156" i="74"/>
  <c r="H156" i="74"/>
  <c r="I156" i="74"/>
  <c r="N156" i="74"/>
  <c r="O156" i="74"/>
  <c r="P156" i="74"/>
  <c r="Q156" i="74"/>
  <c r="R156" i="74"/>
  <c r="S156" i="74"/>
  <c r="T156" i="74"/>
  <c r="U156" i="74"/>
  <c r="A155" i="74"/>
  <c r="F155" i="74"/>
  <c r="G155" i="74"/>
  <c r="H155" i="74"/>
  <c r="I155" i="74"/>
  <c r="N155" i="74"/>
  <c r="O155" i="74"/>
  <c r="P155" i="74"/>
  <c r="Q155" i="74"/>
  <c r="R155" i="74"/>
  <c r="S155" i="74"/>
  <c r="T155" i="74"/>
  <c r="U155" i="74"/>
  <c r="C147" i="74"/>
  <c r="A146" i="74"/>
  <c r="F146" i="74"/>
  <c r="G146" i="74"/>
  <c r="H146" i="74"/>
  <c r="I146" i="74"/>
  <c r="N146" i="74"/>
  <c r="O146" i="74"/>
  <c r="P146" i="74"/>
  <c r="Q146" i="74"/>
  <c r="R146" i="74"/>
  <c r="S146" i="74"/>
  <c r="T146" i="74"/>
  <c r="U146" i="74"/>
  <c r="A145" i="74"/>
  <c r="F145" i="74"/>
  <c r="G145" i="74"/>
  <c r="H145" i="74"/>
  <c r="I145" i="74"/>
  <c r="N145" i="74"/>
  <c r="O145" i="74"/>
  <c r="P145" i="74"/>
  <c r="Q145" i="74"/>
  <c r="R145" i="74"/>
  <c r="S145" i="74"/>
  <c r="T145" i="74"/>
  <c r="U145" i="74"/>
  <c r="A144" i="74"/>
  <c r="F144" i="74"/>
  <c r="G144" i="74"/>
  <c r="H144" i="74"/>
  <c r="I144" i="74"/>
  <c r="N144" i="74"/>
  <c r="O144" i="74"/>
  <c r="P144" i="74"/>
  <c r="Q144" i="74"/>
  <c r="R144" i="74"/>
  <c r="S144" i="74"/>
  <c r="T144" i="74"/>
  <c r="U144" i="74"/>
  <c r="A143" i="74"/>
  <c r="F143" i="74"/>
  <c r="G143" i="74"/>
  <c r="H143" i="74"/>
  <c r="I143" i="74"/>
  <c r="N143" i="74"/>
  <c r="O143" i="74"/>
  <c r="P143" i="74"/>
  <c r="Q143" i="74"/>
  <c r="R143" i="74"/>
  <c r="S143" i="74"/>
  <c r="T143" i="74"/>
  <c r="U143" i="74"/>
  <c r="A142" i="74"/>
  <c r="F142" i="74"/>
  <c r="G142" i="74"/>
  <c r="H142" i="74"/>
  <c r="I142" i="74"/>
  <c r="N142" i="74"/>
  <c r="O142" i="74"/>
  <c r="P142" i="74"/>
  <c r="Q142" i="74"/>
  <c r="R142" i="74"/>
  <c r="S142" i="74"/>
  <c r="T142" i="74"/>
  <c r="U142" i="74"/>
  <c r="A141" i="74"/>
  <c r="F141" i="74"/>
  <c r="G141" i="74"/>
  <c r="H141" i="74"/>
  <c r="I141" i="74"/>
  <c r="N141" i="74"/>
  <c r="O141" i="74"/>
  <c r="P141" i="74"/>
  <c r="Q141" i="74"/>
  <c r="R141" i="74"/>
  <c r="S141" i="74"/>
  <c r="T141" i="74"/>
  <c r="U141" i="74"/>
  <c r="A140" i="74"/>
  <c r="F140" i="74"/>
  <c r="G140" i="74"/>
  <c r="H140" i="74"/>
  <c r="I140" i="74"/>
  <c r="N140" i="74"/>
  <c r="O140" i="74"/>
  <c r="P140" i="74"/>
  <c r="Q140" i="74"/>
  <c r="R140" i="74"/>
  <c r="S140" i="74"/>
  <c r="T140" i="74"/>
  <c r="U140" i="74"/>
  <c r="A139" i="74"/>
  <c r="F139" i="74"/>
  <c r="G139" i="74"/>
  <c r="H139" i="74"/>
  <c r="I139" i="74"/>
  <c r="N139" i="74"/>
  <c r="O139" i="74"/>
  <c r="P139" i="74"/>
  <c r="Q139" i="74"/>
  <c r="R139" i="74"/>
  <c r="S139" i="74"/>
  <c r="T139" i="74"/>
  <c r="U139" i="74"/>
  <c r="A138" i="74"/>
  <c r="F138" i="74"/>
  <c r="G138" i="74"/>
  <c r="H138" i="74"/>
  <c r="I138" i="74"/>
  <c r="N138" i="74"/>
  <c r="O138" i="74"/>
  <c r="P138" i="74"/>
  <c r="Q138" i="74"/>
  <c r="R138" i="74"/>
  <c r="S138" i="74"/>
  <c r="T138" i="74"/>
  <c r="U138" i="74"/>
  <c r="C113" i="74"/>
  <c r="A112" i="74"/>
  <c r="F112" i="74"/>
  <c r="G112" i="74"/>
  <c r="H112" i="74"/>
  <c r="I112" i="74"/>
  <c r="N112" i="74"/>
  <c r="O112" i="74"/>
  <c r="P112" i="74"/>
  <c r="Q112" i="74"/>
  <c r="R112" i="74"/>
  <c r="S112" i="74"/>
  <c r="T112" i="74"/>
  <c r="U112" i="74"/>
  <c r="A111" i="74"/>
  <c r="F111" i="74"/>
  <c r="G111" i="74"/>
  <c r="H111" i="74"/>
  <c r="I111" i="74"/>
  <c r="N111" i="74"/>
  <c r="O111" i="74"/>
  <c r="P111" i="74"/>
  <c r="Q111" i="74"/>
  <c r="R111" i="74"/>
  <c r="S111" i="74"/>
  <c r="T111" i="74"/>
  <c r="U111" i="74"/>
  <c r="A110" i="74"/>
  <c r="F110" i="74"/>
  <c r="G110" i="74"/>
  <c r="H110" i="74"/>
  <c r="I110" i="74"/>
  <c r="N110" i="74"/>
  <c r="O110" i="74"/>
  <c r="P110" i="74"/>
  <c r="Q110" i="74"/>
  <c r="R110" i="74"/>
  <c r="S110" i="74"/>
  <c r="T110" i="74"/>
  <c r="U110" i="74"/>
  <c r="A109" i="74"/>
  <c r="F109" i="74"/>
  <c r="G109" i="74"/>
  <c r="H109" i="74"/>
  <c r="I109" i="74"/>
  <c r="N109" i="74"/>
  <c r="O109" i="74"/>
  <c r="P109" i="74"/>
  <c r="Q109" i="74"/>
  <c r="R109" i="74"/>
  <c r="S109" i="74"/>
  <c r="T109" i="74"/>
  <c r="U109" i="74"/>
  <c r="A108" i="74"/>
  <c r="F108" i="74"/>
  <c r="G108" i="74"/>
  <c r="H108" i="74"/>
  <c r="I108" i="74"/>
  <c r="N108" i="74"/>
  <c r="O108" i="74"/>
  <c r="P108" i="74"/>
  <c r="Q108" i="74"/>
  <c r="R108" i="74"/>
  <c r="S108" i="74"/>
  <c r="T108" i="74"/>
  <c r="U108" i="74"/>
  <c r="A107" i="74"/>
  <c r="F107" i="74"/>
  <c r="G107" i="74"/>
  <c r="H107" i="74"/>
  <c r="I107" i="74"/>
  <c r="N107" i="74"/>
  <c r="O107" i="74"/>
  <c r="P107" i="74"/>
  <c r="Q107" i="74"/>
  <c r="R107" i="74"/>
  <c r="S107" i="74"/>
  <c r="T107" i="74"/>
  <c r="U107" i="74"/>
  <c r="A106" i="74"/>
  <c r="F106" i="74"/>
  <c r="G106" i="74"/>
  <c r="H106" i="74"/>
  <c r="I106" i="74"/>
  <c r="N106" i="74"/>
  <c r="O106" i="74"/>
  <c r="P106" i="74"/>
  <c r="Q106" i="74"/>
  <c r="R106" i="74"/>
  <c r="S106" i="74"/>
  <c r="T106" i="74"/>
  <c r="U106" i="74"/>
  <c r="A105" i="74"/>
  <c r="F105" i="74"/>
  <c r="G105" i="74"/>
  <c r="H105" i="74"/>
  <c r="I105" i="74"/>
  <c r="N105" i="74"/>
  <c r="O105" i="74"/>
  <c r="P105" i="74"/>
  <c r="Q105" i="74"/>
  <c r="R105" i="74"/>
  <c r="S105" i="74"/>
  <c r="T105" i="74"/>
  <c r="U105" i="74"/>
  <c r="A104" i="74"/>
  <c r="F104" i="74"/>
  <c r="G104" i="74"/>
  <c r="H104" i="74"/>
  <c r="I104" i="74"/>
  <c r="N104" i="74"/>
  <c r="O104" i="74"/>
  <c r="P104" i="74"/>
  <c r="Q104" i="74"/>
  <c r="R104" i="74"/>
  <c r="S104" i="74"/>
  <c r="T104" i="74"/>
  <c r="U104" i="74"/>
  <c r="C130" i="74"/>
  <c r="A129" i="74"/>
  <c r="F129" i="74"/>
  <c r="G129" i="74"/>
  <c r="H129" i="74"/>
  <c r="I129" i="74"/>
  <c r="N129" i="74"/>
  <c r="O129" i="74"/>
  <c r="P129" i="74"/>
  <c r="Q129" i="74"/>
  <c r="R129" i="74"/>
  <c r="S129" i="74"/>
  <c r="T129" i="74"/>
  <c r="U129" i="74"/>
  <c r="A128" i="74"/>
  <c r="F128" i="74"/>
  <c r="G128" i="74"/>
  <c r="H128" i="74"/>
  <c r="I128" i="74"/>
  <c r="N128" i="74"/>
  <c r="O128" i="74"/>
  <c r="P128" i="74"/>
  <c r="Q128" i="74"/>
  <c r="R128" i="74"/>
  <c r="S128" i="74"/>
  <c r="T128" i="74"/>
  <c r="U128" i="74"/>
  <c r="A127" i="74"/>
  <c r="F127" i="74"/>
  <c r="G127" i="74"/>
  <c r="H127" i="74"/>
  <c r="I127" i="74"/>
  <c r="N127" i="74"/>
  <c r="O127" i="74"/>
  <c r="P127" i="74"/>
  <c r="Q127" i="74"/>
  <c r="R127" i="74"/>
  <c r="S127" i="74"/>
  <c r="T127" i="74"/>
  <c r="U127" i="74"/>
  <c r="A126" i="74"/>
  <c r="F126" i="74"/>
  <c r="G126" i="74"/>
  <c r="H126" i="74"/>
  <c r="I126" i="74"/>
  <c r="N126" i="74"/>
  <c r="O126" i="74"/>
  <c r="P126" i="74"/>
  <c r="Q126" i="74"/>
  <c r="R126" i="74"/>
  <c r="S126" i="74"/>
  <c r="T126" i="74"/>
  <c r="U126" i="74"/>
  <c r="A125" i="74"/>
  <c r="F125" i="74"/>
  <c r="G125" i="74"/>
  <c r="H125" i="74"/>
  <c r="I125" i="74"/>
  <c r="N125" i="74"/>
  <c r="O125" i="74"/>
  <c r="P125" i="74"/>
  <c r="Q125" i="74"/>
  <c r="R125" i="74"/>
  <c r="S125" i="74"/>
  <c r="T125" i="74"/>
  <c r="U125" i="74"/>
  <c r="A124" i="74"/>
  <c r="F124" i="74"/>
  <c r="G124" i="74"/>
  <c r="H124" i="74"/>
  <c r="I124" i="74"/>
  <c r="N124" i="74"/>
  <c r="O124" i="74"/>
  <c r="P124" i="74"/>
  <c r="Q124" i="74"/>
  <c r="R124" i="74"/>
  <c r="S124" i="74"/>
  <c r="T124" i="74"/>
  <c r="U124" i="74"/>
  <c r="A123" i="74"/>
  <c r="F123" i="74"/>
  <c r="G123" i="74"/>
  <c r="H123" i="74"/>
  <c r="I123" i="74"/>
  <c r="N123" i="74"/>
  <c r="O123" i="74"/>
  <c r="P123" i="74"/>
  <c r="Q123" i="74"/>
  <c r="R123" i="74"/>
  <c r="S123" i="74"/>
  <c r="T123" i="74"/>
  <c r="U123" i="74"/>
  <c r="A122" i="74"/>
  <c r="F122" i="74"/>
  <c r="G122" i="74"/>
  <c r="H122" i="74"/>
  <c r="I122" i="74"/>
  <c r="N122" i="74"/>
  <c r="O122" i="74"/>
  <c r="P122" i="74"/>
  <c r="Q122" i="74"/>
  <c r="R122" i="74"/>
  <c r="S122" i="74"/>
  <c r="T122" i="74"/>
  <c r="U122" i="74"/>
  <c r="A121" i="74"/>
  <c r="F121" i="74"/>
  <c r="G121" i="74"/>
  <c r="H121" i="74"/>
  <c r="I121" i="74"/>
  <c r="N121" i="74"/>
  <c r="O121" i="74"/>
  <c r="P121" i="74"/>
  <c r="Q121" i="74"/>
  <c r="R121" i="74"/>
  <c r="S121" i="74"/>
  <c r="T121" i="74"/>
  <c r="U121" i="74"/>
  <c r="C96" i="74"/>
  <c r="A95" i="74"/>
  <c r="F95" i="74"/>
  <c r="G95" i="74"/>
  <c r="H95" i="74"/>
  <c r="I95" i="74"/>
  <c r="N95" i="74"/>
  <c r="O95" i="74"/>
  <c r="P95" i="74"/>
  <c r="Q95" i="74"/>
  <c r="R95" i="74"/>
  <c r="S95" i="74"/>
  <c r="T95" i="74"/>
  <c r="U95" i="74"/>
  <c r="A94" i="74"/>
  <c r="F94" i="74"/>
  <c r="G94" i="74"/>
  <c r="H94" i="74"/>
  <c r="I94" i="74"/>
  <c r="N94" i="74"/>
  <c r="O94" i="74"/>
  <c r="P94" i="74"/>
  <c r="Q94" i="74"/>
  <c r="R94" i="74"/>
  <c r="S94" i="74"/>
  <c r="T94" i="74"/>
  <c r="U94" i="74"/>
  <c r="A93" i="74"/>
  <c r="F93" i="74"/>
  <c r="G93" i="74"/>
  <c r="H93" i="74"/>
  <c r="I93" i="74"/>
  <c r="N93" i="74"/>
  <c r="O93" i="74"/>
  <c r="P93" i="74"/>
  <c r="Q93" i="74"/>
  <c r="R93" i="74"/>
  <c r="S93" i="74"/>
  <c r="T93" i="74"/>
  <c r="U93" i="74"/>
  <c r="A92" i="74"/>
  <c r="F92" i="74"/>
  <c r="G92" i="74"/>
  <c r="H92" i="74"/>
  <c r="I92" i="74"/>
  <c r="N92" i="74"/>
  <c r="O92" i="74"/>
  <c r="P92" i="74"/>
  <c r="Q92" i="74"/>
  <c r="R92" i="74"/>
  <c r="S92" i="74"/>
  <c r="T92" i="74"/>
  <c r="U92" i="74"/>
  <c r="A91" i="74"/>
  <c r="F91" i="74"/>
  <c r="G91" i="74"/>
  <c r="H91" i="74"/>
  <c r="I91" i="74"/>
  <c r="N91" i="74"/>
  <c r="O91" i="74"/>
  <c r="P91" i="74"/>
  <c r="Q91" i="74"/>
  <c r="R91" i="74"/>
  <c r="S91" i="74"/>
  <c r="T91" i="74"/>
  <c r="U91" i="74"/>
  <c r="A90" i="74"/>
  <c r="F90" i="74"/>
  <c r="G90" i="74"/>
  <c r="H90" i="74"/>
  <c r="I90" i="74"/>
  <c r="N90" i="74"/>
  <c r="O90" i="74"/>
  <c r="P90" i="74"/>
  <c r="Q90" i="74"/>
  <c r="R90" i="74"/>
  <c r="S90" i="74"/>
  <c r="T90" i="74"/>
  <c r="U90" i="74"/>
  <c r="A89" i="74"/>
  <c r="F89" i="74"/>
  <c r="G89" i="74"/>
  <c r="H89" i="74"/>
  <c r="I89" i="74"/>
  <c r="N89" i="74"/>
  <c r="O89" i="74"/>
  <c r="P89" i="74"/>
  <c r="Q89" i="74"/>
  <c r="R89" i="74"/>
  <c r="S89" i="74"/>
  <c r="T89" i="74"/>
  <c r="U89" i="74"/>
  <c r="A88" i="74"/>
  <c r="F88" i="74"/>
  <c r="G88" i="74"/>
  <c r="H88" i="74"/>
  <c r="I88" i="74"/>
  <c r="N88" i="74"/>
  <c r="O88" i="74"/>
  <c r="P88" i="74"/>
  <c r="Q88" i="74"/>
  <c r="R88" i="74"/>
  <c r="S88" i="74"/>
  <c r="T88" i="74"/>
  <c r="U88" i="74"/>
  <c r="A87" i="74"/>
  <c r="F87" i="74"/>
  <c r="G87" i="74"/>
  <c r="H87" i="74"/>
  <c r="I87" i="74"/>
  <c r="N87" i="74"/>
  <c r="O87" i="74"/>
  <c r="P87" i="74"/>
  <c r="Q87" i="74"/>
  <c r="R87" i="74"/>
  <c r="S87" i="74"/>
  <c r="T87" i="74"/>
  <c r="U87" i="74"/>
  <c r="C79" i="74"/>
  <c r="A78" i="74"/>
  <c r="F78" i="74"/>
  <c r="G78" i="74"/>
  <c r="H78" i="74"/>
  <c r="I78" i="74"/>
  <c r="N78" i="74"/>
  <c r="O78" i="74"/>
  <c r="P78" i="74"/>
  <c r="Q78" i="74"/>
  <c r="R78" i="74"/>
  <c r="S78" i="74"/>
  <c r="T78" i="74"/>
  <c r="U78" i="74"/>
  <c r="A77" i="74"/>
  <c r="F77" i="74"/>
  <c r="G77" i="74"/>
  <c r="H77" i="74"/>
  <c r="I77" i="74"/>
  <c r="N77" i="74"/>
  <c r="O77" i="74"/>
  <c r="P77" i="74"/>
  <c r="Q77" i="74"/>
  <c r="R77" i="74"/>
  <c r="S77" i="74"/>
  <c r="T77" i="74"/>
  <c r="U77" i="74"/>
  <c r="A76" i="74"/>
  <c r="F76" i="74"/>
  <c r="G76" i="74"/>
  <c r="H76" i="74"/>
  <c r="I76" i="74"/>
  <c r="N76" i="74"/>
  <c r="O76" i="74"/>
  <c r="P76" i="74"/>
  <c r="Q76" i="74"/>
  <c r="R76" i="74"/>
  <c r="S76" i="74"/>
  <c r="T76" i="74"/>
  <c r="U76" i="74"/>
  <c r="A75" i="74"/>
  <c r="F75" i="74"/>
  <c r="G75" i="74"/>
  <c r="H75" i="74"/>
  <c r="I75" i="74"/>
  <c r="N75" i="74"/>
  <c r="O75" i="74"/>
  <c r="P75" i="74"/>
  <c r="Q75" i="74"/>
  <c r="R75" i="74"/>
  <c r="S75" i="74"/>
  <c r="T75" i="74"/>
  <c r="U75" i="74"/>
  <c r="A74" i="74"/>
  <c r="F74" i="74"/>
  <c r="G74" i="74"/>
  <c r="H74" i="74"/>
  <c r="I74" i="74"/>
  <c r="N74" i="74"/>
  <c r="O74" i="74"/>
  <c r="P74" i="74"/>
  <c r="Q74" i="74"/>
  <c r="R74" i="74"/>
  <c r="S74" i="74"/>
  <c r="T74" i="74"/>
  <c r="U74" i="74"/>
  <c r="A73" i="74"/>
  <c r="F73" i="74"/>
  <c r="G73" i="74"/>
  <c r="H73" i="74"/>
  <c r="I73" i="74"/>
  <c r="N73" i="74"/>
  <c r="O73" i="74"/>
  <c r="P73" i="74"/>
  <c r="Q73" i="74"/>
  <c r="R73" i="74"/>
  <c r="S73" i="74"/>
  <c r="T73" i="74"/>
  <c r="U73" i="74"/>
  <c r="A72" i="74"/>
  <c r="F72" i="74"/>
  <c r="G72" i="74"/>
  <c r="H72" i="74"/>
  <c r="I72" i="74"/>
  <c r="N72" i="74"/>
  <c r="O72" i="74"/>
  <c r="P72" i="74"/>
  <c r="Q72" i="74"/>
  <c r="R72" i="74"/>
  <c r="S72" i="74"/>
  <c r="T72" i="74"/>
  <c r="U72" i="74"/>
  <c r="A71" i="74"/>
  <c r="F71" i="74"/>
  <c r="G71" i="74"/>
  <c r="H71" i="74"/>
  <c r="I71" i="74"/>
  <c r="N71" i="74"/>
  <c r="O71" i="74"/>
  <c r="P71" i="74"/>
  <c r="Q71" i="74"/>
  <c r="R71" i="74"/>
  <c r="S71" i="74"/>
  <c r="T71" i="74"/>
  <c r="U71" i="74"/>
  <c r="A70" i="74"/>
  <c r="F70" i="74"/>
  <c r="G70" i="74"/>
  <c r="H70" i="74"/>
  <c r="I70" i="74"/>
  <c r="N70" i="74"/>
  <c r="O70" i="74"/>
  <c r="P70" i="74"/>
  <c r="Q70" i="74"/>
  <c r="R70" i="74"/>
  <c r="S70" i="74"/>
  <c r="T70" i="74"/>
  <c r="U70" i="74"/>
  <c r="C62" i="74"/>
  <c r="A61" i="74"/>
  <c r="F61" i="74"/>
  <c r="G61" i="74"/>
  <c r="H61" i="74"/>
  <c r="I61" i="74"/>
  <c r="N61" i="74"/>
  <c r="O61" i="74"/>
  <c r="P61" i="74"/>
  <c r="Q61" i="74"/>
  <c r="R61" i="74"/>
  <c r="S61" i="74"/>
  <c r="T61" i="74"/>
  <c r="U61" i="74"/>
  <c r="A60" i="74"/>
  <c r="F60" i="74"/>
  <c r="G60" i="74"/>
  <c r="H60" i="74"/>
  <c r="I60" i="74"/>
  <c r="N60" i="74"/>
  <c r="O60" i="74"/>
  <c r="P60" i="74"/>
  <c r="Q60" i="74"/>
  <c r="R60" i="74"/>
  <c r="S60" i="74"/>
  <c r="T60" i="74"/>
  <c r="U60" i="74"/>
  <c r="A59" i="74"/>
  <c r="F59" i="74"/>
  <c r="G59" i="74"/>
  <c r="H59" i="74"/>
  <c r="I59" i="74"/>
  <c r="N59" i="74"/>
  <c r="O59" i="74"/>
  <c r="P59" i="74"/>
  <c r="Q59" i="74"/>
  <c r="R59" i="74"/>
  <c r="S59" i="74"/>
  <c r="T59" i="74"/>
  <c r="U59" i="74"/>
  <c r="A58" i="74"/>
  <c r="F58" i="74"/>
  <c r="G58" i="74"/>
  <c r="H58" i="74"/>
  <c r="I58" i="74"/>
  <c r="N58" i="74"/>
  <c r="O58" i="74"/>
  <c r="P58" i="74"/>
  <c r="Q58" i="74"/>
  <c r="R58" i="74"/>
  <c r="S58" i="74"/>
  <c r="T58" i="74"/>
  <c r="U58" i="74"/>
  <c r="A57" i="74"/>
  <c r="F57" i="74"/>
  <c r="G57" i="74"/>
  <c r="H57" i="74"/>
  <c r="I57" i="74"/>
  <c r="N57" i="74"/>
  <c r="O57" i="74"/>
  <c r="P57" i="74"/>
  <c r="Q57" i="74"/>
  <c r="R57" i="74"/>
  <c r="S57" i="74"/>
  <c r="T57" i="74"/>
  <c r="U57" i="74"/>
  <c r="A56" i="74"/>
  <c r="F56" i="74"/>
  <c r="G56" i="74"/>
  <c r="H56" i="74"/>
  <c r="I56" i="74"/>
  <c r="N56" i="74"/>
  <c r="O56" i="74"/>
  <c r="P56" i="74"/>
  <c r="Q56" i="74"/>
  <c r="R56" i="74"/>
  <c r="S56" i="74"/>
  <c r="T56" i="74"/>
  <c r="U56" i="74"/>
  <c r="A55" i="74"/>
  <c r="F55" i="74"/>
  <c r="G55" i="74"/>
  <c r="H55" i="74"/>
  <c r="I55" i="74"/>
  <c r="N55" i="74"/>
  <c r="O55" i="74"/>
  <c r="P55" i="74"/>
  <c r="Q55" i="74"/>
  <c r="R55" i="74"/>
  <c r="S55" i="74"/>
  <c r="T55" i="74"/>
  <c r="U55" i="74"/>
  <c r="A54" i="74"/>
  <c r="F54" i="74"/>
  <c r="G54" i="74"/>
  <c r="H54" i="74"/>
  <c r="I54" i="74"/>
  <c r="N54" i="74"/>
  <c r="O54" i="74"/>
  <c r="P54" i="74"/>
  <c r="Q54" i="74"/>
  <c r="R54" i="74"/>
  <c r="S54" i="74"/>
  <c r="T54" i="74"/>
  <c r="U54" i="74"/>
  <c r="A53" i="74"/>
  <c r="F53" i="74"/>
  <c r="G53" i="74"/>
  <c r="H53" i="74"/>
  <c r="I53" i="74"/>
  <c r="N53" i="74"/>
  <c r="O53" i="74"/>
  <c r="P53" i="74"/>
  <c r="Q53" i="74"/>
  <c r="R53" i="74"/>
  <c r="S53" i="74"/>
  <c r="T53" i="74"/>
  <c r="U53" i="74"/>
  <c r="C45" i="74"/>
  <c r="A44" i="74"/>
  <c r="F44" i="74"/>
  <c r="G44" i="74"/>
  <c r="H44" i="74"/>
  <c r="I44" i="74"/>
  <c r="N44" i="74"/>
  <c r="O44" i="74"/>
  <c r="P44" i="74"/>
  <c r="Q44" i="74"/>
  <c r="R44" i="74"/>
  <c r="S44" i="74"/>
  <c r="T44" i="74"/>
  <c r="U44" i="74"/>
  <c r="A43" i="74"/>
  <c r="F43" i="74"/>
  <c r="G43" i="74"/>
  <c r="H43" i="74"/>
  <c r="I43" i="74"/>
  <c r="N43" i="74"/>
  <c r="O43" i="74"/>
  <c r="P43" i="74"/>
  <c r="Q43" i="74"/>
  <c r="R43" i="74"/>
  <c r="S43" i="74"/>
  <c r="T43" i="74"/>
  <c r="U43" i="74"/>
  <c r="A42" i="74"/>
  <c r="F42" i="74"/>
  <c r="G42" i="74"/>
  <c r="H42" i="74"/>
  <c r="I42" i="74"/>
  <c r="N42" i="74"/>
  <c r="O42" i="74"/>
  <c r="P42" i="74"/>
  <c r="Q42" i="74"/>
  <c r="R42" i="74"/>
  <c r="S42" i="74"/>
  <c r="T42" i="74"/>
  <c r="U42" i="74"/>
  <c r="A41" i="74"/>
  <c r="F41" i="74"/>
  <c r="G41" i="74"/>
  <c r="H41" i="74"/>
  <c r="I41" i="74"/>
  <c r="N41" i="74"/>
  <c r="O41" i="74"/>
  <c r="P41" i="74"/>
  <c r="Q41" i="74"/>
  <c r="R41" i="74"/>
  <c r="S41" i="74"/>
  <c r="T41" i="74"/>
  <c r="U41" i="74"/>
  <c r="A40" i="74"/>
  <c r="F40" i="74"/>
  <c r="G40" i="74"/>
  <c r="H40" i="74"/>
  <c r="I40" i="74"/>
  <c r="N40" i="74"/>
  <c r="O40" i="74"/>
  <c r="P40" i="74"/>
  <c r="Q40" i="74"/>
  <c r="R40" i="74"/>
  <c r="S40" i="74"/>
  <c r="T40" i="74"/>
  <c r="U40" i="74"/>
  <c r="A39" i="74"/>
  <c r="F39" i="74"/>
  <c r="G39" i="74"/>
  <c r="H39" i="74"/>
  <c r="I39" i="74"/>
  <c r="N39" i="74"/>
  <c r="O39" i="74"/>
  <c r="P39" i="74"/>
  <c r="Q39" i="74"/>
  <c r="R39" i="74"/>
  <c r="S39" i="74"/>
  <c r="T39" i="74"/>
  <c r="U39" i="74"/>
  <c r="A38" i="74"/>
  <c r="F38" i="74"/>
  <c r="G38" i="74"/>
  <c r="H38" i="74"/>
  <c r="I38" i="74"/>
  <c r="N38" i="74"/>
  <c r="O38" i="74"/>
  <c r="P38" i="74"/>
  <c r="Q38" i="74"/>
  <c r="R38" i="74"/>
  <c r="S38" i="74"/>
  <c r="T38" i="74"/>
  <c r="U38" i="74"/>
  <c r="A37" i="74"/>
  <c r="F37" i="74"/>
  <c r="G37" i="74"/>
  <c r="H37" i="74"/>
  <c r="I37" i="74"/>
  <c r="N37" i="74"/>
  <c r="O37" i="74"/>
  <c r="P37" i="74"/>
  <c r="Q37" i="74"/>
  <c r="R37" i="74"/>
  <c r="S37" i="74"/>
  <c r="T37" i="74"/>
  <c r="U37" i="74"/>
  <c r="A36" i="74"/>
  <c r="F36" i="74"/>
  <c r="G36" i="74"/>
  <c r="H36" i="74"/>
  <c r="I36" i="74"/>
  <c r="N36" i="74"/>
  <c r="O36" i="74"/>
  <c r="P36" i="74"/>
  <c r="Q36" i="74"/>
  <c r="R36" i="74"/>
  <c r="S36" i="74"/>
  <c r="T36" i="74"/>
  <c r="U36" i="74"/>
  <c r="C204" i="83"/>
  <c r="A203" i="83"/>
  <c r="F203" i="83"/>
  <c r="H203" i="83" s="1"/>
  <c r="G203" i="83"/>
  <c r="I203" i="83"/>
  <c r="N203" i="83"/>
  <c r="O203" i="83"/>
  <c r="P203" i="83"/>
  <c r="Q203" i="83"/>
  <c r="R203" i="83"/>
  <c r="S203" i="83"/>
  <c r="T203" i="83"/>
  <c r="U203" i="83"/>
  <c r="A202" i="83"/>
  <c r="F202" i="83"/>
  <c r="H202" i="83" s="1"/>
  <c r="J202" i="83" s="1"/>
  <c r="K202" i="83" s="1"/>
  <c r="L202" i="83" s="1"/>
  <c r="G202" i="83"/>
  <c r="I202" i="83"/>
  <c r="N202" i="83"/>
  <c r="O202" i="83"/>
  <c r="P202" i="83"/>
  <c r="Q202" i="83"/>
  <c r="R202" i="83"/>
  <c r="S202" i="83"/>
  <c r="T202" i="83"/>
  <c r="U202" i="83"/>
  <c r="A201" i="83"/>
  <c r="F201" i="83"/>
  <c r="H201" i="83" s="1"/>
  <c r="G201" i="83"/>
  <c r="I201" i="83"/>
  <c r="N201" i="83"/>
  <c r="O201" i="83"/>
  <c r="P201" i="83"/>
  <c r="Q201" i="83"/>
  <c r="R201" i="83"/>
  <c r="S201" i="83"/>
  <c r="T201" i="83"/>
  <c r="U201" i="83"/>
  <c r="A200" i="83"/>
  <c r="F200" i="83"/>
  <c r="H200" i="83" s="1"/>
  <c r="J200" i="83" s="1"/>
  <c r="K200" i="83" s="1"/>
  <c r="L200" i="83" s="1"/>
  <c r="G200" i="83"/>
  <c r="I200" i="83"/>
  <c r="N200" i="83"/>
  <c r="O200" i="83"/>
  <c r="P200" i="83"/>
  <c r="Q200" i="83"/>
  <c r="R200" i="83"/>
  <c r="S200" i="83"/>
  <c r="T200" i="83"/>
  <c r="U200" i="83"/>
  <c r="A199" i="83"/>
  <c r="F199" i="83"/>
  <c r="H199" i="83" s="1"/>
  <c r="G199" i="83"/>
  <c r="I199" i="83"/>
  <c r="N199" i="83"/>
  <c r="O199" i="83"/>
  <c r="P199" i="83"/>
  <c r="Q199" i="83"/>
  <c r="R199" i="83"/>
  <c r="S199" i="83"/>
  <c r="T199" i="83"/>
  <c r="U199" i="83"/>
  <c r="A198" i="83"/>
  <c r="F198" i="83"/>
  <c r="H198" i="83" s="1"/>
  <c r="J198" i="83" s="1"/>
  <c r="K198" i="83" s="1"/>
  <c r="L198" i="83" s="1"/>
  <c r="G198" i="83"/>
  <c r="I198" i="83"/>
  <c r="N198" i="83"/>
  <c r="O198" i="83"/>
  <c r="P198" i="83"/>
  <c r="Q198" i="83"/>
  <c r="R198" i="83"/>
  <c r="S198" i="83"/>
  <c r="T198" i="83"/>
  <c r="U198" i="83"/>
  <c r="A197" i="83"/>
  <c r="F197" i="83"/>
  <c r="H197" i="83" s="1"/>
  <c r="G197" i="83"/>
  <c r="I197" i="83"/>
  <c r="N197" i="83"/>
  <c r="O197" i="83"/>
  <c r="P197" i="83"/>
  <c r="Q197" i="83"/>
  <c r="R197" i="83"/>
  <c r="S197" i="83"/>
  <c r="T197" i="83"/>
  <c r="U197" i="83"/>
  <c r="A196" i="83"/>
  <c r="F196" i="83"/>
  <c r="H196" i="83" s="1"/>
  <c r="J196" i="83" s="1"/>
  <c r="K196" i="83" s="1"/>
  <c r="L196" i="83" s="1"/>
  <c r="G196" i="83"/>
  <c r="I196" i="83"/>
  <c r="N196" i="83"/>
  <c r="O196" i="83"/>
  <c r="P196" i="83"/>
  <c r="Q196" i="83"/>
  <c r="R196" i="83"/>
  <c r="S196" i="83"/>
  <c r="T196" i="83"/>
  <c r="U196" i="83"/>
  <c r="A195" i="83"/>
  <c r="F195" i="83"/>
  <c r="H195" i="83" s="1"/>
  <c r="G195" i="83"/>
  <c r="I195" i="83"/>
  <c r="N195" i="83"/>
  <c r="O195" i="83"/>
  <c r="P195" i="83"/>
  <c r="Q195" i="83"/>
  <c r="R195" i="83"/>
  <c r="S195" i="83"/>
  <c r="T195" i="83"/>
  <c r="U195" i="83"/>
  <c r="C186" i="83"/>
  <c r="A185" i="83"/>
  <c r="F185" i="83"/>
  <c r="H185" i="83" s="1"/>
  <c r="G185" i="83"/>
  <c r="I185" i="83"/>
  <c r="N185" i="83"/>
  <c r="O185" i="83"/>
  <c r="P185" i="83"/>
  <c r="Q185" i="83"/>
  <c r="R185" i="83"/>
  <c r="S185" i="83"/>
  <c r="T185" i="83"/>
  <c r="U185" i="83"/>
  <c r="A184" i="83"/>
  <c r="F184" i="83"/>
  <c r="H184" i="83" s="1"/>
  <c r="G184" i="83"/>
  <c r="I184" i="83"/>
  <c r="N184" i="83"/>
  <c r="O184" i="83"/>
  <c r="P184" i="83"/>
  <c r="Q184" i="83"/>
  <c r="R184" i="83"/>
  <c r="S184" i="83"/>
  <c r="T184" i="83"/>
  <c r="U184" i="83"/>
  <c r="A183" i="83"/>
  <c r="F183" i="83"/>
  <c r="H183" i="83" s="1"/>
  <c r="G183" i="83"/>
  <c r="I183" i="83"/>
  <c r="N183" i="83"/>
  <c r="O183" i="83"/>
  <c r="P183" i="83"/>
  <c r="Q183" i="83"/>
  <c r="R183" i="83"/>
  <c r="S183" i="83"/>
  <c r="T183" i="83"/>
  <c r="U183" i="83"/>
  <c r="A182" i="83"/>
  <c r="F182" i="83"/>
  <c r="H182" i="83" s="1"/>
  <c r="G182" i="83"/>
  <c r="I182" i="83"/>
  <c r="N182" i="83"/>
  <c r="O182" i="83"/>
  <c r="P182" i="83"/>
  <c r="Q182" i="83"/>
  <c r="R182" i="83"/>
  <c r="S182" i="83"/>
  <c r="T182" i="83"/>
  <c r="U182" i="83"/>
  <c r="A181" i="83"/>
  <c r="F181" i="83"/>
  <c r="H181" i="83" s="1"/>
  <c r="G181" i="83"/>
  <c r="I181" i="83"/>
  <c r="N181" i="83"/>
  <c r="O181" i="83"/>
  <c r="P181" i="83"/>
  <c r="Q181" i="83"/>
  <c r="R181" i="83"/>
  <c r="S181" i="83"/>
  <c r="T181" i="83"/>
  <c r="U181" i="83"/>
  <c r="A180" i="83"/>
  <c r="F180" i="83"/>
  <c r="H180" i="83" s="1"/>
  <c r="G180" i="83"/>
  <c r="I180" i="83"/>
  <c r="N180" i="83"/>
  <c r="O180" i="83"/>
  <c r="P180" i="83"/>
  <c r="Q180" i="83"/>
  <c r="R180" i="83"/>
  <c r="S180" i="83"/>
  <c r="T180" i="83"/>
  <c r="U180" i="83"/>
  <c r="A179" i="83"/>
  <c r="F179" i="83"/>
  <c r="H179" i="83" s="1"/>
  <c r="G179" i="83"/>
  <c r="I179" i="83"/>
  <c r="N179" i="83"/>
  <c r="O179" i="83"/>
  <c r="P179" i="83"/>
  <c r="Q179" i="83"/>
  <c r="R179" i="83"/>
  <c r="S179" i="83"/>
  <c r="T179" i="83"/>
  <c r="U179" i="83"/>
  <c r="A178" i="83"/>
  <c r="F178" i="83"/>
  <c r="H178" i="83" s="1"/>
  <c r="G178" i="83"/>
  <c r="I178" i="83"/>
  <c r="N178" i="83"/>
  <c r="O178" i="83"/>
  <c r="P178" i="83"/>
  <c r="Q178" i="83"/>
  <c r="R178" i="83"/>
  <c r="S178" i="83"/>
  <c r="T178" i="83"/>
  <c r="U178" i="83"/>
  <c r="A177" i="83"/>
  <c r="F177" i="83"/>
  <c r="H177" i="83" s="1"/>
  <c r="G177" i="83"/>
  <c r="I177" i="83"/>
  <c r="N177" i="83"/>
  <c r="O177" i="83"/>
  <c r="P177" i="83"/>
  <c r="Q177" i="83"/>
  <c r="R177" i="83"/>
  <c r="S177" i="83"/>
  <c r="T177" i="83"/>
  <c r="U177" i="83"/>
  <c r="C168" i="83"/>
  <c r="A167" i="83"/>
  <c r="F167" i="83"/>
  <c r="H167" i="83" s="1"/>
  <c r="G167" i="83"/>
  <c r="I167" i="83"/>
  <c r="N167" i="83"/>
  <c r="O167" i="83"/>
  <c r="P167" i="83"/>
  <c r="Q167" i="83"/>
  <c r="R167" i="83"/>
  <c r="S167" i="83"/>
  <c r="T167" i="83"/>
  <c r="U167" i="83"/>
  <c r="A166" i="83"/>
  <c r="F166" i="83"/>
  <c r="H166" i="83" s="1"/>
  <c r="G166" i="83"/>
  <c r="I166" i="83"/>
  <c r="N166" i="83"/>
  <c r="O166" i="83"/>
  <c r="P166" i="83"/>
  <c r="Q166" i="83"/>
  <c r="R166" i="83"/>
  <c r="S166" i="83"/>
  <c r="T166" i="83"/>
  <c r="U166" i="83"/>
  <c r="A165" i="83"/>
  <c r="F165" i="83"/>
  <c r="H165" i="83" s="1"/>
  <c r="G165" i="83"/>
  <c r="I165" i="83"/>
  <c r="N165" i="83"/>
  <c r="O165" i="83"/>
  <c r="P165" i="83"/>
  <c r="Q165" i="83"/>
  <c r="R165" i="83"/>
  <c r="S165" i="83"/>
  <c r="T165" i="83"/>
  <c r="U165" i="83"/>
  <c r="A164" i="83"/>
  <c r="F164" i="83"/>
  <c r="H164" i="83" s="1"/>
  <c r="G164" i="83"/>
  <c r="I164" i="83"/>
  <c r="N164" i="83"/>
  <c r="O164" i="83"/>
  <c r="P164" i="83"/>
  <c r="Q164" i="83"/>
  <c r="R164" i="83"/>
  <c r="S164" i="83"/>
  <c r="T164" i="83"/>
  <c r="U164" i="83"/>
  <c r="A163" i="83"/>
  <c r="F163" i="83"/>
  <c r="H163" i="83" s="1"/>
  <c r="G163" i="83"/>
  <c r="I163" i="83"/>
  <c r="N163" i="83"/>
  <c r="O163" i="83"/>
  <c r="P163" i="83"/>
  <c r="Q163" i="83"/>
  <c r="R163" i="83"/>
  <c r="S163" i="83"/>
  <c r="T163" i="83"/>
  <c r="U163" i="83"/>
  <c r="A162" i="83"/>
  <c r="F162" i="83"/>
  <c r="H162" i="83" s="1"/>
  <c r="G162" i="83"/>
  <c r="I162" i="83"/>
  <c r="N162" i="83"/>
  <c r="O162" i="83"/>
  <c r="P162" i="83"/>
  <c r="Q162" i="83"/>
  <c r="R162" i="83"/>
  <c r="S162" i="83"/>
  <c r="T162" i="83"/>
  <c r="U162" i="83"/>
  <c r="A161" i="83"/>
  <c r="F161" i="83"/>
  <c r="H161" i="83" s="1"/>
  <c r="G161" i="83"/>
  <c r="I161" i="83"/>
  <c r="N161" i="83"/>
  <c r="O161" i="83"/>
  <c r="P161" i="83"/>
  <c r="Q161" i="83"/>
  <c r="R161" i="83"/>
  <c r="S161" i="83"/>
  <c r="T161" i="83"/>
  <c r="U161" i="83"/>
  <c r="A160" i="83"/>
  <c r="F160" i="83"/>
  <c r="H160" i="83" s="1"/>
  <c r="G160" i="83"/>
  <c r="I160" i="83"/>
  <c r="N160" i="83"/>
  <c r="O160" i="83"/>
  <c r="P160" i="83"/>
  <c r="Q160" i="83"/>
  <c r="R160" i="83"/>
  <c r="S160" i="83"/>
  <c r="T160" i="83"/>
  <c r="U160" i="83"/>
  <c r="A159" i="83"/>
  <c r="F159" i="83"/>
  <c r="H159" i="83" s="1"/>
  <c r="G159" i="83"/>
  <c r="I159" i="83"/>
  <c r="N159" i="83"/>
  <c r="O159" i="83"/>
  <c r="P159" i="83"/>
  <c r="Q159" i="83"/>
  <c r="R159" i="83"/>
  <c r="S159" i="83"/>
  <c r="T159" i="83"/>
  <c r="U159" i="83"/>
  <c r="C150" i="83"/>
  <c r="A149" i="83"/>
  <c r="F149" i="83"/>
  <c r="H149" i="83" s="1"/>
  <c r="G149" i="83"/>
  <c r="I149" i="83"/>
  <c r="N149" i="83"/>
  <c r="O149" i="83"/>
  <c r="P149" i="83"/>
  <c r="Q149" i="83"/>
  <c r="R149" i="83"/>
  <c r="S149" i="83"/>
  <c r="T149" i="83"/>
  <c r="U149" i="83"/>
  <c r="A148" i="83"/>
  <c r="F148" i="83"/>
  <c r="H148" i="83" s="1"/>
  <c r="G148" i="83"/>
  <c r="I148" i="83"/>
  <c r="N148" i="83"/>
  <c r="O148" i="83"/>
  <c r="P148" i="83"/>
  <c r="Q148" i="83"/>
  <c r="R148" i="83"/>
  <c r="S148" i="83"/>
  <c r="T148" i="83"/>
  <c r="U148" i="83"/>
  <c r="A147" i="83"/>
  <c r="F147" i="83"/>
  <c r="H147" i="83" s="1"/>
  <c r="G147" i="83"/>
  <c r="I147" i="83"/>
  <c r="N147" i="83"/>
  <c r="O147" i="83"/>
  <c r="P147" i="83"/>
  <c r="Q147" i="83"/>
  <c r="R147" i="83"/>
  <c r="S147" i="83"/>
  <c r="T147" i="83"/>
  <c r="U147" i="83"/>
  <c r="A146" i="83"/>
  <c r="F146" i="83"/>
  <c r="H146" i="83" s="1"/>
  <c r="G146" i="83"/>
  <c r="I146" i="83"/>
  <c r="N146" i="83"/>
  <c r="O146" i="83"/>
  <c r="P146" i="83"/>
  <c r="Q146" i="83"/>
  <c r="R146" i="83"/>
  <c r="S146" i="83"/>
  <c r="T146" i="83"/>
  <c r="U146" i="83"/>
  <c r="A145" i="83"/>
  <c r="F145" i="83"/>
  <c r="H145" i="83" s="1"/>
  <c r="G145" i="83"/>
  <c r="I145" i="83"/>
  <c r="N145" i="83"/>
  <c r="O145" i="83"/>
  <c r="P145" i="83"/>
  <c r="Q145" i="83"/>
  <c r="R145" i="83"/>
  <c r="S145" i="83"/>
  <c r="T145" i="83"/>
  <c r="U145" i="83"/>
  <c r="A144" i="83"/>
  <c r="F144" i="83"/>
  <c r="H144" i="83" s="1"/>
  <c r="G144" i="83"/>
  <c r="I144" i="83"/>
  <c r="N144" i="83"/>
  <c r="O144" i="83"/>
  <c r="P144" i="83"/>
  <c r="Q144" i="83"/>
  <c r="R144" i="83"/>
  <c r="S144" i="83"/>
  <c r="T144" i="83"/>
  <c r="U144" i="83"/>
  <c r="A143" i="83"/>
  <c r="F143" i="83"/>
  <c r="H143" i="83" s="1"/>
  <c r="G143" i="83"/>
  <c r="I143" i="83"/>
  <c r="N143" i="83"/>
  <c r="O143" i="83"/>
  <c r="P143" i="83"/>
  <c r="Q143" i="83"/>
  <c r="R143" i="83"/>
  <c r="S143" i="83"/>
  <c r="T143" i="83"/>
  <c r="U143" i="83"/>
  <c r="A142" i="83"/>
  <c r="F142" i="83"/>
  <c r="H142" i="83" s="1"/>
  <c r="G142" i="83"/>
  <c r="I142" i="83"/>
  <c r="N142" i="83"/>
  <c r="O142" i="83"/>
  <c r="P142" i="83"/>
  <c r="Q142" i="83"/>
  <c r="R142" i="83"/>
  <c r="S142" i="83"/>
  <c r="T142" i="83"/>
  <c r="U142" i="83"/>
  <c r="A141" i="83"/>
  <c r="F141" i="83"/>
  <c r="H141" i="83" s="1"/>
  <c r="G141" i="83"/>
  <c r="I141" i="83"/>
  <c r="N141" i="83"/>
  <c r="O141" i="83"/>
  <c r="P141" i="83"/>
  <c r="Q141" i="83"/>
  <c r="R141" i="83"/>
  <c r="S141" i="83"/>
  <c r="T141" i="83"/>
  <c r="U141" i="83"/>
  <c r="C132" i="83"/>
  <c r="A131" i="83"/>
  <c r="F131" i="83"/>
  <c r="H131" i="83" s="1"/>
  <c r="G131" i="83"/>
  <c r="I131" i="83"/>
  <c r="N131" i="83"/>
  <c r="O131" i="83"/>
  <c r="P131" i="83"/>
  <c r="Q131" i="83"/>
  <c r="R131" i="83"/>
  <c r="S131" i="83"/>
  <c r="T131" i="83"/>
  <c r="U131" i="83"/>
  <c r="A130" i="83"/>
  <c r="F130" i="83"/>
  <c r="H130" i="83" s="1"/>
  <c r="G130" i="83"/>
  <c r="I130" i="83"/>
  <c r="N130" i="83"/>
  <c r="O130" i="83"/>
  <c r="P130" i="83"/>
  <c r="Q130" i="83"/>
  <c r="R130" i="83"/>
  <c r="S130" i="83"/>
  <c r="T130" i="83"/>
  <c r="U130" i="83"/>
  <c r="A129" i="83"/>
  <c r="F129" i="83"/>
  <c r="H129" i="83" s="1"/>
  <c r="G129" i="83"/>
  <c r="I129" i="83"/>
  <c r="N129" i="83"/>
  <c r="O129" i="83"/>
  <c r="P129" i="83"/>
  <c r="Q129" i="83"/>
  <c r="R129" i="83"/>
  <c r="S129" i="83"/>
  <c r="T129" i="83"/>
  <c r="U129" i="83"/>
  <c r="A128" i="83"/>
  <c r="F128" i="83"/>
  <c r="H128" i="83" s="1"/>
  <c r="G128" i="83"/>
  <c r="I128" i="83"/>
  <c r="N128" i="83"/>
  <c r="O128" i="83"/>
  <c r="P128" i="83"/>
  <c r="Q128" i="83"/>
  <c r="R128" i="83"/>
  <c r="S128" i="83"/>
  <c r="T128" i="83"/>
  <c r="U128" i="83"/>
  <c r="A127" i="83"/>
  <c r="F127" i="83"/>
  <c r="H127" i="83" s="1"/>
  <c r="G127" i="83"/>
  <c r="I127" i="83"/>
  <c r="N127" i="83"/>
  <c r="O127" i="83"/>
  <c r="P127" i="83"/>
  <c r="Q127" i="83"/>
  <c r="R127" i="83"/>
  <c r="S127" i="83"/>
  <c r="T127" i="83"/>
  <c r="U127" i="83"/>
  <c r="A126" i="83"/>
  <c r="F126" i="83"/>
  <c r="H126" i="83" s="1"/>
  <c r="G126" i="83"/>
  <c r="I126" i="83"/>
  <c r="N126" i="83"/>
  <c r="O126" i="83"/>
  <c r="P126" i="83"/>
  <c r="Q126" i="83"/>
  <c r="R126" i="83"/>
  <c r="S126" i="83"/>
  <c r="T126" i="83"/>
  <c r="U126" i="83"/>
  <c r="A125" i="83"/>
  <c r="F125" i="83"/>
  <c r="H125" i="83" s="1"/>
  <c r="G125" i="83"/>
  <c r="I125" i="83"/>
  <c r="N125" i="83"/>
  <c r="O125" i="83"/>
  <c r="P125" i="83"/>
  <c r="Q125" i="83"/>
  <c r="R125" i="83"/>
  <c r="S125" i="83"/>
  <c r="T125" i="83"/>
  <c r="U125" i="83"/>
  <c r="A124" i="83"/>
  <c r="F124" i="83"/>
  <c r="H124" i="83" s="1"/>
  <c r="G124" i="83"/>
  <c r="I124" i="83"/>
  <c r="N124" i="83"/>
  <c r="O124" i="83"/>
  <c r="P124" i="83"/>
  <c r="Q124" i="83"/>
  <c r="R124" i="83"/>
  <c r="S124" i="83"/>
  <c r="T124" i="83"/>
  <c r="U124" i="83"/>
  <c r="A123" i="83"/>
  <c r="F123" i="83"/>
  <c r="H123" i="83" s="1"/>
  <c r="G123" i="83"/>
  <c r="I123" i="83"/>
  <c r="N123" i="83"/>
  <c r="O123" i="83"/>
  <c r="P123" i="83"/>
  <c r="Q123" i="83"/>
  <c r="R123" i="83"/>
  <c r="S123" i="83"/>
  <c r="T123" i="83"/>
  <c r="U123" i="83"/>
  <c r="C114" i="83"/>
  <c r="A113" i="83"/>
  <c r="F113" i="83"/>
  <c r="H113" i="83" s="1"/>
  <c r="G113" i="83"/>
  <c r="I113" i="83"/>
  <c r="N113" i="83"/>
  <c r="O113" i="83"/>
  <c r="P113" i="83"/>
  <c r="Q113" i="83"/>
  <c r="R113" i="83"/>
  <c r="S113" i="83"/>
  <c r="T113" i="83"/>
  <c r="U113" i="83"/>
  <c r="A112" i="83"/>
  <c r="F112" i="83"/>
  <c r="H112" i="83" s="1"/>
  <c r="G112" i="83"/>
  <c r="I112" i="83"/>
  <c r="N112" i="83"/>
  <c r="O112" i="83"/>
  <c r="P112" i="83"/>
  <c r="Q112" i="83"/>
  <c r="R112" i="83"/>
  <c r="S112" i="83"/>
  <c r="T112" i="83"/>
  <c r="U112" i="83"/>
  <c r="A111" i="83"/>
  <c r="F111" i="83"/>
  <c r="H111" i="83" s="1"/>
  <c r="G111" i="83"/>
  <c r="I111" i="83"/>
  <c r="N111" i="83"/>
  <c r="O111" i="83"/>
  <c r="P111" i="83"/>
  <c r="Q111" i="83"/>
  <c r="R111" i="83"/>
  <c r="S111" i="83"/>
  <c r="T111" i="83"/>
  <c r="U111" i="83"/>
  <c r="A110" i="83"/>
  <c r="F110" i="83"/>
  <c r="H110" i="83" s="1"/>
  <c r="G110" i="83"/>
  <c r="I110" i="83"/>
  <c r="N110" i="83"/>
  <c r="O110" i="83"/>
  <c r="P110" i="83"/>
  <c r="Q110" i="83"/>
  <c r="R110" i="83"/>
  <c r="S110" i="83"/>
  <c r="T110" i="83"/>
  <c r="U110" i="83"/>
  <c r="A109" i="83"/>
  <c r="F109" i="83"/>
  <c r="H109" i="83" s="1"/>
  <c r="G109" i="83"/>
  <c r="I109" i="83"/>
  <c r="N109" i="83"/>
  <c r="O109" i="83"/>
  <c r="P109" i="83"/>
  <c r="Q109" i="83"/>
  <c r="R109" i="83"/>
  <c r="S109" i="83"/>
  <c r="T109" i="83"/>
  <c r="U109" i="83"/>
  <c r="A108" i="83"/>
  <c r="F108" i="83"/>
  <c r="H108" i="83" s="1"/>
  <c r="G108" i="83"/>
  <c r="I108" i="83"/>
  <c r="N108" i="83"/>
  <c r="O108" i="83"/>
  <c r="P108" i="83"/>
  <c r="Q108" i="83"/>
  <c r="R108" i="83"/>
  <c r="S108" i="83"/>
  <c r="T108" i="83"/>
  <c r="U108" i="83"/>
  <c r="A107" i="83"/>
  <c r="F107" i="83"/>
  <c r="H107" i="83" s="1"/>
  <c r="G107" i="83"/>
  <c r="I107" i="83"/>
  <c r="N107" i="83"/>
  <c r="O107" i="83"/>
  <c r="P107" i="83"/>
  <c r="Q107" i="83"/>
  <c r="R107" i="83"/>
  <c r="S107" i="83"/>
  <c r="T107" i="83"/>
  <c r="U107" i="83"/>
  <c r="A106" i="83"/>
  <c r="F106" i="83"/>
  <c r="H106" i="83" s="1"/>
  <c r="G106" i="83"/>
  <c r="I106" i="83"/>
  <c r="N106" i="83"/>
  <c r="O106" i="83"/>
  <c r="P106" i="83"/>
  <c r="Q106" i="83"/>
  <c r="R106" i="83"/>
  <c r="S106" i="83"/>
  <c r="T106" i="83"/>
  <c r="U106" i="83"/>
  <c r="A105" i="83"/>
  <c r="F105" i="83"/>
  <c r="H105" i="83" s="1"/>
  <c r="G105" i="83"/>
  <c r="I105" i="83"/>
  <c r="N105" i="83"/>
  <c r="O105" i="83"/>
  <c r="P105" i="83"/>
  <c r="Q105" i="83"/>
  <c r="R105" i="83"/>
  <c r="S105" i="83"/>
  <c r="T105" i="83"/>
  <c r="U105" i="83"/>
  <c r="C96" i="83"/>
  <c r="A95" i="83"/>
  <c r="F95" i="83"/>
  <c r="H95" i="83" s="1"/>
  <c r="G95" i="83"/>
  <c r="I95" i="83"/>
  <c r="N95" i="83"/>
  <c r="O95" i="83"/>
  <c r="P95" i="83"/>
  <c r="Q95" i="83"/>
  <c r="R95" i="83"/>
  <c r="S95" i="83"/>
  <c r="T95" i="83"/>
  <c r="U95" i="83"/>
  <c r="A94" i="83"/>
  <c r="F94" i="83"/>
  <c r="H94" i="83" s="1"/>
  <c r="G94" i="83"/>
  <c r="I94" i="83"/>
  <c r="N94" i="83"/>
  <c r="O94" i="83"/>
  <c r="P94" i="83"/>
  <c r="Q94" i="83"/>
  <c r="R94" i="83"/>
  <c r="S94" i="83"/>
  <c r="T94" i="83"/>
  <c r="U94" i="83"/>
  <c r="A93" i="83"/>
  <c r="F93" i="83"/>
  <c r="H93" i="83" s="1"/>
  <c r="G93" i="83"/>
  <c r="I93" i="83"/>
  <c r="N93" i="83"/>
  <c r="O93" i="83"/>
  <c r="P93" i="83"/>
  <c r="Q93" i="83"/>
  <c r="R93" i="83"/>
  <c r="S93" i="83"/>
  <c r="T93" i="83"/>
  <c r="U93" i="83"/>
  <c r="A92" i="83"/>
  <c r="F92" i="83"/>
  <c r="H92" i="83" s="1"/>
  <c r="G92" i="83"/>
  <c r="I92" i="83"/>
  <c r="N92" i="83"/>
  <c r="O92" i="83"/>
  <c r="P92" i="83"/>
  <c r="Q92" i="83"/>
  <c r="R92" i="83"/>
  <c r="S92" i="83"/>
  <c r="T92" i="83"/>
  <c r="U92" i="83"/>
  <c r="A91" i="83"/>
  <c r="F91" i="83"/>
  <c r="H91" i="83" s="1"/>
  <c r="G91" i="83"/>
  <c r="I91" i="83"/>
  <c r="N91" i="83"/>
  <c r="O91" i="83"/>
  <c r="P91" i="83"/>
  <c r="Q91" i="83"/>
  <c r="R91" i="83"/>
  <c r="S91" i="83"/>
  <c r="T91" i="83"/>
  <c r="U91" i="83"/>
  <c r="A90" i="83"/>
  <c r="F90" i="83"/>
  <c r="H90" i="83" s="1"/>
  <c r="G90" i="83"/>
  <c r="I90" i="83"/>
  <c r="N90" i="83"/>
  <c r="O90" i="83"/>
  <c r="P90" i="83"/>
  <c r="Q90" i="83"/>
  <c r="R90" i="83"/>
  <c r="S90" i="83"/>
  <c r="T90" i="83"/>
  <c r="U90" i="83"/>
  <c r="A89" i="83"/>
  <c r="F89" i="83"/>
  <c r="H89" i="83" s="1"/>
  <c r="G89" i="83"/>
  <c r="I89" i="83"/>
  <c r="N89" i="83"/>
  <c r="O89" i="83"/>
  <c r="P89" i="83"/>
  <c r="Q89" i="83"/>
  <c r="R89" i="83"/>
  <c r="S89" i="83"/>
  <c r="T89" i="83"/>
  <c r="U89" i="83"/>
  <c r="A88" i="83"/>
  <c r="F88" i="83"/>
  <c r="H88" i="83" s="1"/>
  <c r="G88" i="83"/>
  <c r="I88" i="83"/>
  <c r="N88" i="83"/>
  <c r="O88" i="83"/>
  <c r="P88" i="83"/>
  <c r="Q88" i="83"/>
  <c r="R88" i="83"/>
  <c r="S88" i="83"/>
  <c r="T88" i="83"/>
  <c r="U88" i="83"/>
  <c r="A87" i="83"/>
  <c r="F87" i="83"/>
  <c r="H87" i="83" s="1"/>
  <c r="G87" i="83"/>
  <c r="I87" i="83"/>
  <c r="N87" i="83"/>
  <c r="O87" i="83"/>
  <c r="P87" i="83"/>
  <c r="Q87" i="83"/>
  <c r="R87" i="83"/>
  <c r="S87" i="83"/>
  <c r="T87" i="83"/>
  <c r="U87" i="83"/>
  <c r="C79" i="83"/>
  <c r="A78" i="83"/>
  <c r="F78" i="83"/>
  <c r="H78" i="83" s="1"/>
  <c r="G78" i="83"/>
  <c r="I78" i="83"/>
  <c r="N78" i="83"/>
  <c r="O78" i="83"/>
  <c r="P78" i="83"/>
  <c r="Q78" i="83"/>
  <c r="R78" i="83"/>
  <c r="S78" i="83"/>
  <c r="T78" i="83"/>
  <c r="U78" i="83"/>
  <c r="A77" i="83"/>
  <c r="F77" i="83"/>
  <c r="H77" i="83" s="1"/>
  <c r="G77" i="83"/>
  <c r="I77" i="83"/>
  <c r="N77" i="83"/>
  <c r="O77" i="83"/>
  <c r="P77" i="83"/>
  <c r="Q77" i="83"/>
  <c r="R77" i="83"/>
  <c r="S77" i="83"/>
  <c r="T77" i="83"/>
  <c r="U77" i="83"/>
  <c r="A76" i="83"/>
  <c r="F76" i="83"/>
  <c r="H76" i="83" s="1"/>
  <c r="G76" i="83"/>
  <c r="I76" i="83"/>
  <c r="N76" i="83"/>
  <c r="O76" i="83"/>
  <c r="P76" i="83"/>
  <c r="Q76" i="83"/>
  <c r="R76" i="83"/>
  <c r="S76" i="83"/>
  <c r="T76" i="83"/>
  <c r="U76" i="83"/>
  <c r="A75" i="83"/>
  <c r="F75" i="83"/>
  <c r="H75" i="83" s="1"/>
  <c r="G75" i="83"/>
  <c r="I75" i="83"/>
  <c r="N75" i="83"/>
  <c r="O75" i="83"/>
  <c r="P75" i="83"/>
  <c r="Q75" i="83"/>
  <c r="R75" i="83"/>
  <c r="S75" i="83"/>
  <c r="T75" i="83"/>
  <c r="U75" i="83"/>
  <c r="A74" i="83"/>
  <c r="F74" i="83"/>
  <c r="H74" i="83" s="1"/>
  <c r="G74" i="83"/>
  <c r="I74" i="83"/>
  <c r="N74" i="83"/>
  <c r="O74" i="83"/>
  <c r="P74" i="83"/>
  <c r="Q74" i="83"/>
  <c r="R74" i="83"/>
  <c r="S74" i="83"/>
  <c r="T74" i="83"/>
  <c r="U74" i="83"/>
  <c r="A73" i="83"/>
  <c r="F73" i="83"/>
  <c r="H73" i="83" s="1"/>
  <c r="G73" i="83"/>
  <c r="I73" i="83"/>
  <c r="N73" i="83"/>
  <c r="O73" i="83"/>
  <c r="P73" i="83"/>
  <c r="Q73" i="83"/>
  <c r="R73" i="83"/>
  <c r="S73" i="83"/>
  <c r="T73" i="83"/>
  <c r="U73" i="83"/>
  <c r="A72" i="83"/>
  <c r="F72" i="83"/>
  <c r="H72" i="83" s="1"/>
  <c r="G72" i="83"/>
  <c r="I72" i="83"/>
  <c r="N72" i="83"/>
  <c r="O72" i="83"/>
  <c r="P72" i="83"/>
  <c r="Q72" i="83"/>
  <c r="R72" i="83"/>
  <c r="S72" i="83"/>
  <c r="T72" i="83"/>
  <c r="U72" i="83"/>
  <c r="A71" i="83"/>
  <c r="F71" i="83"/>
  <c r="H71" i="83" s="1"/>
  <c r="G71" i="83"/>
  <c r="I71" i="83"/>
  <c r="N71" i="83"/>
  <c r="O71" i="83"/>
  <c r="P71" i="83"/>
  <c r="Q71" i="83"/>
  <c r="R71" i="83"/>
  <c r="S71" i="83"/>
  <c r="T71" i="83"/>
  <c r="U71" i="83"/>
  <c r="A70" i="83"/>
  <c r="F70" i="83"/>
  <c r="H70" i="83" s="1"/>
  <c r="G70" i="83"/>
  <c r="I70" i="83"/>
  <c r="N70" i="83"/>
  <c r="O70" i="83"/>
  <c r="P70" i="83"/>
  <c r="Q70" i="83"/>
  <c r="R70" i="83"/>
  <c r="S70" i="83"/>
  <c r="T70" i="83"/>
  <c r="U70" i="83"/>
  <c r="C62" i="83"/>
  <c r="A61" i="83"/>
  <c r="F61" i="83"/>
  <c r="H61" i="83" s="1"/>
  <c r="G61" i="83"/>
  <c r="I61" i="83"/>
  <c r="N61" i="83"/>
  <c r="O61" i="83"/>
  <c r="P61" i="83"/>
  <c r="Q61" i="83"/>
  <c r="R61" i="83"/>
  <c r="S61" i="83"/>
  <c r="T61" i="83"/>
  <c r="U61" i="83"/>
  <c r="A60" i="83"/>
  <c r="F60" i="83"/>
  <c r="H60" i="83" s="1"/>
  <c r="G60" i="83"/>
  <c r="I60" i="83"/>
  <c r="N60" i="83"/>
  <c r="O60" i="83"/>
  <c r="P60" i="83"/>
  <c r="Q60" i="83"/>
  <c r="R60" i="83"/>
  <c r="S60" i="83"/>
  <c r="T60" i="83"/>
  <c r="U60" i="83"/>
  <c r="A59" i="83"/>
  <c r="F59" i="83"/>
  <c r="H59" i="83" s="1"/>
  <c r="G59" i="83"/>
  <c r="I59" i="83"/>
  <c r="N59" i="83"/>
  <c r="O59" i="83"/>
  <c r="P59" i="83"/>
  <c r="Q59" i="83"/>
  <c r="R59" i="83"/>
  <c r="S59" i="83"/>
  <c r="T59" i="83"/>
  <c r="U59" i="83"/>
  <c r="A58" i="83"/>
  <c r="F58" i="83"/>
  <c r="H58" i="83" s="1"/>
  <c r="G58" i="83"/>
  <c r="I58" i="83"/>
  <c r="N58" i="83"/>
  <c r="O58" i="83"/>
  <c r="P58" i="83"/>
  <c r="Q58" i="83"/>
  <c r="R58" i="83"/>
  <c r="S58" i="83"/>
  <c r="T58" i="83"/>
  <c r="U58" i="83"/>
  <c r="A57" i="83"/>
  <c r="F57" i="83"/>
  <c r="H57" i="83" s="1"/>
  <c r="G57" i="83"/>
  <c r="I57" i="83"/>
  <c r="N57" i="83"/>
  <c r="O57" i="83"/>
  <c r="P57" i="83"/>
  <c r="Q57" i="83"/>
  <c r="R57" i="83"/>
  <c r="S57" i="83"/>
  <c r="T57" i="83"/>
  <c r="U57" i="83"/>
  <c r="A56" i="83"/>
  <c r="F56" i="83"/>
  <c r="H56" i="83" s="1"/>
  <c r="G56" i="83"/>
  <c r="I56" i="83"/>
  <c r="N56" i="83"/>
  <c r="O56" i="83"/>
  <c r="P56" i="83"/>
  <c r="Q56" i="83"/>
  <c r="R56" i="83"/>
  <c r="S56" i="83"/>
  <c r="T56" i="83"/>
  <c r="U56" i="83"/>
  <c r="A55" i="83"/>
  <c r="F55" i="83"/>
  <c r="H55" i="83" s="1"/>
  <c r="G55" i="83"/>
  <c r="I55" i="83"/>
  <c r="N55" i="83"/>
  <c r="O55" i="83"/>
  <c r="P55" i="83"/>
  <c r="Q55" i="83"/>
  <c r="R55" i="83"/>
  <c r="S55" i="83"/>
  <c r="T55" i="83"/>
  <c r="U55" i="83"/>
  <c r="A54" i="83"/>
  <c r="F54" i="83"/>
  <c r="H54" i="83" s="1"/>
  <c r="G54" i="83"/>
  <c r="I54" i="83"/>
  <c r="N54" i="83"/>
  <c r="O54" i="83"/>
  <c r="P54" i="83"/>
  <c r="Q54" i="83"/>
  <c r="R54" i="83"/>
  <c r="S54" i="83"/>
  <c r="T54" i="83"/>
  <c r="U54" i="83"/>
  <c r="A53" i="83"/>
  <c r="F53" i="83"/>
  <c r="H53" i="83" s="1"/>
  <c r="G53" i="83"/>
  <c r="I53" i="83"/>
  <c r="N53" i="83"/>
  <c r="O53" i="83"/>
  <c r="P53" i="83"/>
  <c r="Q53" i="83"/>
  <c r="R53" i="83"/>
  <c r="S53" i="83"/>
  <c r="T53" i="83"/>
  <c r="U53" i="83"/>
  <c r="C45" i="83"/>
  <c r="A44" i="83"/>
  <c r="F44" i="83"/>
  <c r="H44" i="83" s="1"/>
  <c r="G44" i="83"/>
  <c r="I44" i="83"/>
  <c r="N44" i="83"/>
  <c r="O44" i="83"/>
  <c r="P44" i="83"/>
  <c r="Q44" i="83"/>
  <c r="R44" i="83"/>
  <c r="S44" i="83"/>
  <c r="T44" i="83"/>
  <c r="U44" i="83"/>
  <c r="A43" i="83"/>
  <c r="F43" i="83"/>
  <c r="H43" i="83" s="1"/>
  <c r="G43" i="83"/>
  <c r="I43" i="83"/>
  <c r="N43" i="83"/>
  <c r="O43" i="83"/>
  <c r="P43" i="83"/>
  <c r="Q43" i="83"/>
  <c r="R43" i="83"/>
  <c r="S43" i="83"/>
  <c r="T43" i="83"/>
  <c r="U43" i="83"/>
  <c r="A42" i="83"/>
  <c r="F42" i="83"/>
  <c r="H42" i="83" s="1"/>
  <c r="G42" i="83"/>
  <c r="I42" i="83"/>
  <c r="N42" i="83"/>
  <c r="O42" i="83"/>
  <c r="P42" i="83"/>
  <c r="Q42" i="83"/>
  <c r="R42" i="83"/>
  <c r="S42" i="83"/>
  <c r="T42" i="83"/>
  <c r="U42" i="83"/>
  <c r="A41" i="83"/>
  <c r="F41" i="83"/>
  <c r="H41" i="83" s="1"/>
  <c r="G41" i="83"/>
  <c r="I41" i="83"/>
  <c r="N41" i="83"/>
  <c r="O41" i="83"/>
  <c r="P41" i="83"/>
  <c r="Q41" i="83"/>
  <c r="R41" i="83"/>
  <c r="S41" i="83"/>
  <c r="T41" i="83"/>
  <c r="U41" i="83"/>
  <c r="A40" i="83"/>
  <c r="F40" i="83"/>
  <c r="H40" i="83" s="1"/>
  <c r="G40" i="83"/>
  <c r="I40" i="83"/>
  <c r="N40" i="83"/>
  <c r="O40" i="83"/>
  <c r="P40" i="83"/>
  <c r="Q40" i="83"/>
  <c r="R40" i="83"/>
  <c r="S40" i="83"/>
  <c r="T40" i="83"/>
  <c r="U40" i="83"/>
  <c r="A39" i="83"/>
  <c r="F39" i="83"/>
  <c r="H39" i="83" s="1"/>
  <c r="G39" i="83"/>
  <c r="I39" i="83"/>
  <c r="N39" i="83"/>
  <c r="O39" i="83"/>
  <c r="P39" i="83"/>
  <c r="Q39" i="83"/>
  <c r="R39" i="83"/>
  <c r="S39" i="83"/>
  <c r="T39" i="83"/>
  <c r="U39" i="83"/>
  <c r="A38" i="83"/>
  <c r="F38" i="83"/>
  <c r="H38" i="83" s="1"/>
  <c r="G38" i="83"/>
  <c r="I38" i="83"/>
  <c r="N38" i="83"/>
  <c r="O38" i="83"/>
  <c r="P38" i="83"/>
  <c r="Q38" i="83"/>
  <c r="R38" i="83"/>
  <c r="S38" i="83"/>
  <c r="T38" i="83"/>
  <c r="U38" i="83"/>
  <c r="A37" i="83"/>
  <c r="F37" i="83"/>
  <c r="H37" i="83" s="1"/>
  <c r="G37" i="83"/>
  <c r="I37" i="83"/>
  <c r="N37" i="83"/>
  <c r="O37" i="83"/>
  <c r="P37" i="83"/>
  <c r="Q37" i="83"/>
  <c r="R37" i="83"/>
  <c r="S37" i="83"/>
  <c r="T37" i="83"/>
  <c r="U37" i="83"/>
  <c r="A36" i="83"/>
  <c r="F36" i="83"/>
  <c r="H36" i="83" s="1"/>
  <c r="G36" i="83"/>
  <c r="I36" i="83"/>
  <c r="N36" i="83"/>
  <c r="O36" i="83"/>
  <c r="P36" i="83"/>
  <c r="Q36" i="83"/>
  <c r="R36" i="83"/>
  <c r="S36" i="83"/>
  <c r="T36" i="83"/>
  <c r="U36" i="83"/>
  <c r="D78" i="31"/>
  <c r="K77" i="31"/>
  <c r="D74" i="31"/>
  <c r="K68" i="31"/>
  <c r="D67" i="31"/>
  <c r="K61" i="31"/>
  <c r="D58" i="31"/>
  <c r="K56" i="31"/>
  <c r="D55" i="31"/>
  <c r="K53" i="31"/>
  <c r="K50" i="31"/>
  <c r="K47" i="31"/>
  <c r="D45" i="31"/>
  <c r="K44" i="31"/>
  <c r="K40" i="31"/>
  <c r="E22" i="31" s="1"/>
  <c r="D39" i="31"/>
  <c r="K34" i="31"/>
  <c r="D34" i="31"/>
  <c r="E9" i="31"/>
  <c r="D33" i="84"/>
  <c r="D34" i="84" s="1"/>
  <c r="V171" i="49"/>
  <c r="U171" i="49"/>
  <c r="U181" i="49" s="1"/>
  <c r="T171" i="49"/>
  <c r="S171" i="49"/>
  <c r="V155" i="49"/>
  <c r="U155" i="49"/>
  <c r="T155" i="49"/>
  <c r="S155" i="49"/>
  <c r="V139" i="49"/>
  <c r="U139" i="49"/>
  <c r="T139" i="49"/>
  <c r="S139" i="49"/>
  <c r="V123" i="49"/>
  <c r="U123" i="49"/>
  <c r="T123" i="49"/>
  <c r="S123" i="49"/>
  <c r="V107" i="49"/>
  <c r="U107" i="49"/>
  <c r="T107" i="49"/>
  <c r="S107" i="49"/>
  <c r="V91" i="49"/>
  <c r="U91" i="49"/>
  <c r="T91" i="49"/>
  <c r="S91" i="49"/>
  <c r="V75" i="49"/>
  <c r="U75" i="49"/>
  <c r="T75" i="49"/>
  <c r="S75" i="49"/>
  <c r="V59" i="49"/>
  <c r="U59" i="49"/>
  <c r="T59" i="49"/>
  <c r="S59" i="49"/>
  <c r="V43" i="49"/>
  <c r="U43" i="49"/>
  <c r="T43" i="49"/>
  <c r="S43" i="49"/>
  <c r="V27" i="49"/>
  <c r="U27" i="49"/>
  <c r="T27" i="49"/>
  <c r="L163" i="47"/>
  <c r="L146" i="47"/>
  <c r="L129" i="47"/>
  <c r="L112" i="47"/>
  <c r="L95" i="47"/>
  <c r="L78" i="47"/>
  <c r="L61" i="47"/>
  <c r="L44" i="47"/>
  <c r="L27" i="47"/>
  <c r="D19" i="84"/>
  <c r="D15" i="84"/>
  <c r="D16" i="84" s="1"/>
  <c r="K179" i="62" l="1"/>
  <c r="N179" i="62" s="1"/>
  <c r="O179" i="62" s="1"/>
  <c r="P179" i="62" s="1"/>
  <c r="K180" i="62"/>
  <c r="N180" i="62" s="1"/>
  <c r="O180" i="62" s="1"/>
  <c r="P180" i="62" s="1"/>
  <c r="K178" i="62"/>
  <c r="N178" i="62" s="1"/>
  <c r="O178" i="62" s="1"/>
  <c r="P178" i="62" s="1"/>
  <c r="K177" i="62"/>
  <c r="N177" i="62" s="1"/>
  <c r="O177" i="62" s="1"/>
  <c r="P177" i="62" s="1"/>
  <c r="K174" i="62"/>
  <c r="N174" i="62" s="1"/>
  <c r="O174" i="62" s="1"/>
  <c r="P174" i="62" s="1"/>
  <c r="K176" i="62"/>
  <c r="N176" i="62" s="1"/>
  <c r="O176" i="62" s="1"/>
  <c r="P176" i="62" s="1"/>
  <c r="K175" i="62"/>
  <c r="N175" i="62" s="1"/>
  <c r="O175" i="62" s="1"/>
  <c r="P175" i="62" s="1"/>
  <c r="K172" i="62"/>
  <c r="N172" i="62" s="1"/>
  <c r="O172" i="62" s="1"/>
  <c r="P172" i="62" s="1"/>
  <c r="K173" i="62"/>
  <c r="N173" i="62" s="1"/>
  <c r="O173" i="62" s="1"/>
  <c r="P173" i="62" s="1"/>
  <c r="K162" i="62"/>
  <c r="N162" i="62" s="1"/>
  <c r="O162" i="62" s="1"/>
  <c r="P162" i="62" s="1"/>
  <c r="K164" i="62"/>
  <c r="N164" i="62" s="1"/>
  <c r="O164" i="62" s="1"/>
  <c r="P164" i="62" s="1"/>
  <c r="K163" i="62"/>
  <c r="N163" i="62" s="1"/>
  <c r="O163" i="62" s="1"/>
  <c r="P163" i="62" s="1"/>
  <c r="K160" i="62"/>
  <c r="N160" i="62" s="1"/>
  <c r="O160" i="62" s="1"/>
  <c r="P160" i="62" s="1"/>
  <c r="K161" i="62"/>
  <c r="N161" i="62" s="1"/>
  <c r="O161" i="62" s="1"/>
  <c r="P161" i="62" s="1"/>
  <c r="K159" i="62"/>
  <c r="N159" i="62" s="1"/>
  <c r="O159" i="62" s="1"/>
  <c r="P159" i="62" s="1"/>
  <c r="K158" i="62"/>
  <c r="N158" i="62" s="1"/>
  <c r="O158" i="62" s="1"/>
  <c r="P158" i="62" s="1"/>
  <c r="K157" i="62"/>
  <c r="N157" i="62" s="1"/>
  <c r="O157" i="62" s="1"/>
  <c r="P157" i="62" s="1"/>
  <c r="K156" i="62"/>
  <c r="N156" i="62" s="1"/>
  <c r="O156" i="62" s="1"/>
  <c r="P156" i="62" s="1"/>
  <c r="K147" i="62"/>
  <c r="N147" i="62" s="1"/>
  <c r="O147" i="62" s="1"/>
  <c r="P147" i="62" s="1"/>
  <c r="K148" i="62"/>
  <c r="N148" i="62" s="1"/>
  <c r="O148" i="62" s="1"/>
  <c r="P148" i="62" s="1"/>
  <c r="K142" i="62"/>
  <c r="N142" i="62" s="1"/>
  <c r="O142" i="62" s="1"/>
  <c r="P142" i="62" s="1"/>
  <c r="K145" i="62"/>
  <c r="N145" i="62" s="1"/>
  <c r="O145" i="62" s="1"/>
  <c r="P145" i="62" s="1"/>
  <c r="K146" i="62"/>
  <c r="N146" i="62" s="1"/>
  <c r="O146" i="62" s="1"/>
  <c r="P146" i="62" s="1"/>
  <c r="K140" i="62"/>
  <c r="N140" i="62" s="1"/>
  <c r="O140" i="62" s="1"/>
  <c r="P140" i="62" s="1"/>
  <c r="K144" i="62"/>
  <c r="N144" i="62" s="1"/>
  <c r="O144" i="62" s="1"/>
  <c r="P144" i="62" s="1"/>
  <c r="K143" i="62"/>
  <c r="N143" i="62" s="1"/>
  <c r="O143" i="62" s="1"/>
  <c r="P143" i="62" s="1"/>
  <c r="K141" i="62"/>
  <c r="N141" i="62" s="1"/>
  <c r="O141" i="62" s="1"/>
  <c r="P141" i="62" s="1"/>
  <c r="K132" i="62"/>
  <c r="N132" i="62" s="1"/>
  <c r="O132" i="62" s="1"/>
  <c r="P132" i="62" s="1"/>
  <c r="K130" i="62"/>
  <c r="N130" i="62" s="1"/>
  <c r="O130" i="62" s="1"/>
  <c r="P130" i="62" s="1"/>
  <c r="K131" i="62"/>
  <c r="N131" i="62" s="1"/>
  <c r="O131" i="62" s="1"/>
  <c r="P131" i="62" s="1"/>
  <c r="K129" i="62"/>
  <c r="N129" i="62" s="1"/>
  <c r="O129" i="62" s="1"/>
  <c r="P129" i="62" s="1"/>
  <c r="K127" i="62"/>
  <c r="N127" i="62" s="1"/>
  <c r="O127" i="62" s="1"/>
  <c r="P127" i="62" s="1"/>
  <c r="K128" i="62"/>
  <c r="N128" i="62" s="1"/>
  <c r="O128" i="62" s="1"/>
  <c r="P128" i="62" s="1"/>
  <c r="K126" i="62"/>
  <c r="N126" i="62" s="1"/>
  <c r="O126" i="62" s="1"/>
  <c r="P126" i="62" s="1"/>
  <c r="K125" i="62"/>
  <c r="N125" i="62" s="1"/>
  <c r="O125" i="62" s="1"/>
  <c r="P125" i="62" s="1"/>
  <c r="K124" i="62"/>
  <c r="N124" i="62" s="1"/>
  <c r="O124" i="62" s="1"/>
  <c r="P124" i="62" s="1"/>
  <c r="K116" i="62"/>
  <c r="N116" i="62" s="1"/>
  <c r="O116" i="62" s="1"/>
  <c r="P116" i="62" s="1"/>
  <c r="K115" i="62"/>
  <c r="N115" i="62" s="1"/>
  <c r="O115" i="62" s="1"/>
  <c r="P115" i="62" s="1"/>
  <c r="K114" i="62"/>
  <c r="N114" i="62" s="1"/>
  <c r="O114" i="62" s="1"/>
  <c r="P114" i="62" s="1"/>
  <c r="K113" i="62"/>
  <c r="N113" i="62" s="1"/>
  <c r="O113" i="62" s="1"/>
  <c r="P113" i="62" s="1"/>
  <c r="K112" i="62"/>
  <c r="N112" i="62" s="1"/>
  <c r="O112" i="62" s="1"/>
  <c r="P112" i="62" s="1"/>
  <c r="K108" i="62"/>
  <c r="N108" i="62" s="1"/>
  <c r="O108" i="62" s="1"/>
  <c r="P108" i="62" s="1"/>
  <c r="K111" i="62"/>
  <c r="N111" i="62" s="1"/>
  <c r="O111" i="62" s="1"/>
  <c r="P111" i="62" s="1"/>
  <c r="K110" i="62"/>
  <c r="N110" i="62" s="1"/>
  <c r="O110" i="62" s="1"/>
  <c r="P110" i="62" s="1"/>
  <c r="K96" i="62"/>
  <c r="N96" i="62" s="1"/>
  <c r="O96" i="62" s="1"/>
  <c r="P96" i="62" s="1"/>
  <c r="K109" i="62"/>
  <c r="N109" i="62" s="1"/>
  <c r="O109" i="62" s="1"/>
  <c r="P109" i="62" s="1"/>
  <c r="K100" i="62"/>
  <c r="N100" i="62" s="1"/>
  <c r="O100" i="62" s="1"/>
  <c r="P100" i="62" s="1"/>
  <c r="K99" i="62"/>
  <c r="N99" i="62" s="1"/>
  <c r="O99" i="62" s="1"/>
  <c r="P99" i="62" s="1"/>
  <c r="K98" i="62"/>
  <c r="N98" i="62" s="1"/>
  <c r="O98" i="62" s="1"/>
  <c r="P98" i="62" s="1"/>
  <c r="K94" i="62"/>
  <c r="N94" i="62" s="1"/>
  <c r="O94" i="62" s="1"/>
  <c r="P94" i="62" s="1"/>
  <c r="K97" i="62"/>
  <c r="N97" i="62" s="1"/>
  <c r="O97" i="62" s="1"/>
  <c r="P97" i="62" s="1"/>
  <c r="K95" i="62"/>
  <c r="N95" i="62" s="1"/>
  <c r="O95" i="62" s="1"/>
  <c r="P95" i="62" s="1"/>
  <c r="K93" i="62"/>
  <c r="N93" i="62" s="1"/>
  <c r="O93" i="62" s="1"/>
  <c r="P93" i="62" s="1"/>
  <c r="K92" i="62"/>
  <c r="N92" i="62" s="1"/>
  <c r="O92" i="62" s="1"/>
  <c r="P92" i="62" s="1"/>
  <c r="K83" i="62"/>
  <c r="N83" i="62" s="1"/>
  <c r="O83" i="62" s="1"/>
  <c r="P83" i="62" s="1"/>
  <c r="K84" i="62"/>
  <c r="N84" i="62" s="1"/>
  <c r="O84" i="62" s="1"/>
  <c r="P84" i="62" s="1"/>
  <c r="K82" i="62"/>
  <c r="N82" i="62" s="1"/>
  <c r="O82" i="62" s="1"/>
  <c r="P82" i="62" s="1"/>
  <c r="K81" i="62"/>
  <c r="N81" i="62" s="1"/>
  <c r="O81" i="62" s="1"/>
  <c r="P81" i="62" s="1"/>
  <c r="K78" i="62"/>
  <c r="N78" i="62" s="1"/>
  <c r="O78" i="62" s="1"/>
  <c r="P78" i="62" s="1"/>
  <c r="K80" i="62"/>
  <c r="N80" i="62" s="1"/>
  <c r="O80" i="62" s="1"/>
  <c r="P80" i="62" s="1"/>
  <c r="K77" i="62"/>
  <c r="N77" i="62" s="1"/>
  <c r="O77" i="62" s="1"/>
  <c r="P77" i="62" s="1"/>
  <c r="K79" i="62"/>
  <c r="N79" i="62" s="1"/>
  <c r="O79" i="62" s="1"/>
  <c r="P79" i="62" s="1"/>
  <c r="K76" i="62"/>
  <c r="N76" i="62" s="1"/>
  <c r="O76" i="62" s="1"/>
  <c r="P76" i="62" s="1"/>
  <c r="K68" i="62"/>
  <c r="N68" i="62" s="1"/>
  <c r="O68" i="62" s="1"/>
  <c r="P68" i="62" s="1"/>
  <c r="K67" i="62"/>
  <c r="N67" i="62" s="1"/>
  <c r="O67" i="62" s="1"/>
  <c r="P67" i="62" s="1"/>
  <c r="K66" i="62"/>
  <c r="N66" i="62" s="1"/>
  <c r="O66" i="62" s="1"/>
  <c r="P66" i="62" s="1"/>
  <c r="K64" i="62"/>
  <c r="N64" i="62" s="1"/>
  <c r="O64" i="62" s="1"/>
  <c r="P64" i="62" s="1"/>
  <c r="K65" i="62"/>
  <c r="N65" i="62" s="1"/>
  <c r="O65" i="62" s="1"/>
  <c r="P65" i="62" s="1"/>
  <c r="K63" i="62"/>
  <c r="N63" i="62" s="1"/>
  <c r="O63" i="62" s="1"/>
  <c r="P63" i="62" s="1"/>
  <c r="K62" i="62"/>
  <c r="N62" i="62" s="1"/>
  <c r="O62" i="62" s="1"/>
  <c r="P62" i="62" s="1"/>
  <c r="K60" i="62"/>
  <c r="N60" i="62" s="1"/>
  <c r="O60" i="62" s="1"/>
  <c r="P60" i="62" s="1"/>
  <c r="K61" i="62"/>
  <c r="N61" i="62" s="1"/>
  <c r="O61" i="62" s="1"/>
  <c r="P61" i="62" s="1"/>
  <c r="K52" i="62"/>
  <c r="N52" i="62" s="1"/>
  <c r="O52" i="62" s="1"/>
  <c r="P52" i="62" s="1"/>
  <c r="K51" i="62"/>
  <c r="N51" i="62" s="1"/>
  <c r="O51" i="62" s="1"/>
  <c r="P51" i="62" s="1"/>
  <c r="K50" i="62"/>
  <c r="N50" i="62" s="1"/>
  <c r="O50" i="62" s="1"/>
  <c r="P50" i="62" s="1"/>
  <c r="K49" i="62"/>
  <c r="N49" i="62" s="1"/>
  <c r="O49" i="62" s="1"/>
  <c r="P49" i="62" s="1"/>
  <c r="K48" i="62"/>
  <c r="N48" i="62" s="1"/>
  <c r="O48" i="62" s="1"/>
  <c r="P48" i="62" s="1"/>
  <c r="K47" i="62"/>
  <c r="N47" i="62" s="1"/>
  <c r="O47" i="62" s="1"/>
  <c r="P47" i="62" s="1"/>
  <c r="K46" i="62"/>
  <c r="N46" i="62" s="1"/>
  <c r="O46" i="62" s="1"/>
  <c r="P46" i="62" s="1"/>
  <c r="K45" i="62"/>
  <c r="N45" i="62" s="1"/>
  <c r="O45" i="62" s="1"/>
  <c r="P45" i="62" s="1"/>
  <c r="K44" i="62"/>
  <c r="N44" i="62" s="1"/>
  <c r="O44" i="62" s="1"/>
  <c r="P44" i="62" s="1"/>
  <c r="K36" i="62"/>
  <c r="N36" i="62" s="1"/>
  <c r="O36" i="62" s="1"/>
  <c r="P36" i="62" s="1"/>
  <c r="K35" i="62"/>
  <c r="N35" i="62" s="1"/>
  <c r="O35" i="62" s="1"/>
  <c r="P35" i="62" s="1"/>
  <c r="K34" i="62"/>
  <c r="N34" i="62" s="1"/>
  <c r="O34" i="62" s="1"/>
  <c r="P34" i="62" s="1"/>
  <c r="K33" i="62"/>
  <c r="N33" i="62" s="1"/>
  <c r="O33" i="62" s="1"/>
  <c r="P33" i="62" s="1"/>
  <c r="K32" i="62"/>
  <c r="N32" i="62" s="1"/>
  <c r="O32" i="62" s="1"/>
  <c r="P32" i="62" s="1"/>
  <c r="K30" i="62"/>
  <c r="N30" i="62" s="1"/>
  <c r="O30" i="62" s="1"/>
  <c r="P30" i="62" s="1"/>
  <c r="K31" i="62"/>
  <c r="N31" i="62" s="1"/>
  <c r="O31" i="62" s="1"/>
  <c r="P31" i="62" s="1"/>
  <c r="K28" i="62"/>
  <c r="N28" i="62" s="1"/>
  <c r="O28" i="62" s="1"/>
  <c r="P28" i="62" s="1"/>
  <c r="K29" i="62"/>
  <c r="N29" i="62" s="1"/>
  <c r="O29" i="62" s="1"/>
  <c r="P29" i="62" s="1"/>
  <c r="V181" i="49"/>
  <c r="O180" i="49"/>
  <c r="P180" i="49" s="1"/>
  <c r="Q180" i="49" s="1"/>
  <c r="O178" i="49"/>
  <c r="P178" i="49" s="1"/>
  <c r="Q178" i="49" s="1"/>
  <c r="S181" i="49"/>
  <c r="T181" i="49"/>
  <c r="O176" i="49"/>
  <c r="P176" i="49" s="1"/>
  <c r="Q176" i="49" s="1"/>
  <c r="O173" i="49"/>
  <c r="P173" i="49" s="1"/>
  <c r="Q173" i="49" s="1"/>
  <c r="O177" i="49"/>
  <c r="P177" i="49" s="1"/>
  <c r="Q177" i="49" s="1"/>
  <c r="O175" i="49"/>
  <c r="P175" i="49" s="1"/>
  <c r="Q175" i="49" s="1"/>
  <c r="O174" i="49"/>
  <c r="P174" i="49" s="1"/>
  <c r="Q174" i="49" s="1"/>
  <c r="O163" i="49"/>
  <c r="P163" i="49" s="1"/>
  <c r="Q163" i="49" s="1"/>
  <c r="S165" i="49"/>
  <c r="T165" i="49"/>
  <c r="U165" i="49"/>
  <c r="O164" i="49"/>
  <c r="P164" i="49" s="1"/>
  <c r="Q164" i="49" s="1"/>
  <c r="V165" i="49"/>
  <c r="O162" i="49"/>
  <c r="P162" i="49" s="1"/>
  <c r="Q162" i="49" s="1"/>
  <c r="O161" i="49"/>
  <c r="P161" i="49" s="1"/>
  <c r="Q161" i="49" s="1"/>
  <c r="O159" i="49"/>
  <c r="P159" i="49" s="1"/>
  <c r="Q159" i="49" s="1"/>
  <c r="O160" i="49"/>
  <c r="P160" i="49" s="1"/>
  <c r="Q160" i="49" s="1"/>
  <c r="O158" i="49"/>
  <c r="P158" i="49" s="1"/>
  <c r="Q158" i="49" s="1"/>
  <c r="O157" i="49"/>
  <c r="P157" i="49" s="1"/>
  <c r="Q157" i="49" s="1"/>
  <c r="O156" i="49"/>
  <c r="P156" i="49" s="1"/>
  <c r="Q156" i="49" s="1"/>
  <c r="T149" i="49"/>
  <c r="U149" i="49"/>
  <c r="V149" i="49"/>
  <c r="O148" i="49"/>
  <c r="P148" i="49" s="1"/>
  <c r="Q148" i="49" s="1"/>
  <c r="O146" i="49"/>
  <c r="P146" i="49" s="1"/>
  <c r="Q146" i="49" s="1"/>
  <c r="T133" i="49"/>
  <c r="S149" i="49"/>
  <c r="O147" i="49"/>
  <c r="P147" i="49" s="1"/>
  <c r="Q147" i="49" s="1"/>
  <c r="O145" i="49"/>
  <c r="P145" i="49" s="1"/>
  <c r="Q145" i="49" s="1"/>
  <c r="O143" i="49"/>
  <c r="P143" i="49" s="1"/>
  <c r="Q143" i="49" s="1"/>
  <c r="O144" i="49"/>
  <c r="P144" i="49" s="1"/>
  <c r="Q144" i="49" s="1"/>
  <c r="O142" i="49"/>
  <c r="P142" i="49" s="1"/>
  <c r="Q142" i="49" s="1"/>
  <c r="O141" i="49"/>
  <c r="P141" i="49" s="1"/>
  <c r="Q141" i="49" s="1"/>
  <c r="O140" i="49"/>
  <c r="P140" i="49" s="1"/>
  <c r="Q140" i="49" s="1"/>
  <c r="V133" i="49"/>
  <c r="O128" i="49"/>
  <c r="P128" i="49" s="1"/>
  <c r="Q128" i="49" s="1"/>
  <c r="O132" i="49"/>
  <c r="P132" i="49" s="1"/>
  <c r="Q132" i="49" s="1"/>
  <c r="S133" i="49"/>
  <c r="O129" i="49"/>
  <c r="P129" i="49" s="1"/>
  <c r="Q129" i="49" s="1"/>
  <c r="U133" i="49"/>
  <c r="O131" i="49"/>
  <c r="P131" i="49" s="1"/>
  <c r="Q131" i="49" s="1"/>
  <c r="O130" i="49"/>
  <c r="P130" i="49" s="1"/>
  <c r="Q130" i="49" s="1"/>
  <c r="O127" i="49"/>
  <c r="P127" i="49" s="1"/>
  <c r="Q127" i="49" s="1"/>
  <c r="O126" i="49"/>
  <c r="P126" i="49" s="1"/>
  <c r="Q126" i="49" s="1"/>
  <c r="O124" i="49"/>
  <c r="P124" i="49" s="1"/>
  <c r="Q124" i="49" s="1"/>
  <c r="O125" i="49"/>
  <c r="P125" i="49" s="1"/>
  <c r="Q125" i="49" s="1"/>
  <c r="S117" i="49"/>
  <c r="O115" i="49"/>
  <c r="P115" i="49" s="1"/>
  <c r="Q115" i="49" s="1"/>
  <c r="T117" i="49"/>
  <c r="U117" i="49"/>
  <c r="O116" i="49"/>
  <c r="P116" i="49" s="1"/>
  <c r="Q116" i="49" s="1"/>
  <c r="V117" i="49"/>
  <c r="O114" i="49"/>
  <c r="P114" i="49" s="1"/>
  <c r="Q114" i="49" s="1"/>
  <c r="O110" i="49"/>
  <c r="P110" i="49" s="1"/>
  <c r="Q110" i="49" s="1"/>
  <c r="O111" i="49"/>
  <c r="P111" i="49" s="1"/>
  <c r="Q111" i="49" s="1"/>
  <c r="O113" i="49"/>
  <c r="P113" i="49" s="1"/>
  <c r="Q113" i="49" s="1"/>
  <c r="O112" i="49"/>
  <c r="P112" i="49" s="1"/>
  <c r="Q112" i="49" s="1"/>
  <c r="O109" i="49"/>
  <c r="P109" i="49" s="1"/>
  <c r="Q109" i="49" s="1"/>
  <c r="U101" i="49"/>
  <c r="O99" i="49"/>
  <c r="P99" i="49" s="1"/>
  <c r="Q99" i="49" s="1"/>
  <c r="O108" i="49"/>
  <c r="P108" i="49" s="1"/>
  <c r="Q108" i="49" s="1"/>
  <c r="V101" i="49"/>
  <c r="O100" i="49"/>
  <c r="P100" i="49" s="1"/>
  <c r="Q100" i="49" s="1"/>
  <c r="S101" i="49"/>
  <c r="T101" i="49"/>
  <c r="O98" i="49"/>
  <c r="P98" i="49" s="1"/>
  <c r="Q98" i="49" s="1"/>
  <c r="O97" i="49"/>
  <c r="P97" i="49" s="1"/>
  <c r="Q97" i="49" s="1"/>
  <c r="O95" i="49"/>
  <c r="P95" i="49" s="1"/>
  <c r="Q95" i="49" s="1"/>
  <c r="O96" i="49"/>
  <c r="P96" i="49" s="1"/>
  <c r="Q96" i="49" s="1"/>
  <c r="O94" i="49"/>
  <c r="P94" i="49" s="1"/>
  <c r="Q94" i="49" s="1"/>
  <c r="O92" i="49"/>
  <c r="P92" i="49" s="1"/>
  <c r="Q92" i="49" s="1"/>
  <c r="O93" i="49"/>
  <c r="P93" i="49" s="1"/>
  <c r="Q93" i="49" s="1"/>
  <c r="S85" i="49"/>
  <c r="T85" i="49"/>
  <c r="O82" i="49"/>
  <c r="P82" i="49" s="1"/>
  <c r="Q82" i="49" s="1"/>
  <c r="U85" i="49"/>
  <c r="V85" i="49"/>
  <c r="O84" i="49"/>
  <c r="P84" i="49" s="1"/>
  <c r="Q84" i="49" s="1"/>
  <c r="O83" i="49"/>
  <c r="P83" i="49" s="1"/>
  <c r="Q83" i="49" s="1"/>
  <c r="O81" i="49"/>
  <c r="P81" i="49" s="1"/>
  <c r="Q81" i="49" s="1"/>
  <c r="O80" i="49"/>
  <c r="P80" i="49" s="1"/>
  <c r="Q80" i="49" s="1"/>
  <c r="O77" i="49"/>
  <c r="P77" i="49" s="1"/>
  <c r="Q77" i="49" s="1"/>
  <c r="O79" i="49"/>
  <c r="P79" i="49" s="1"/>
  <c r="Q79" i="49" s="1"/>
  <c r="O76" i="49"/>
  <c r="P76" i="49" s="1"/>
  <c r="Q76" i="49" s="1"/>
  <c r="O78" i="49"/>
  <c r="P78" i="49" s="1"/>
  <c r="Q78" i="49" s="1"/>
  <c r="O64" i="49"/>
  <c r="P64" i="49" s="1"/>
  <c r="Q64" i="49" s="1"/>
  <c r="O67" i="49"/>
  <c r="P67" i="49" s="1"/>
  <c r="Q67" i="49" s="1"/>
  <c r="T69" i="49"/>
  <c r="U69" i="49"/>
  <c r="V69" i="49"/>
  <c r="O68" i="49"/>
  <c r="P68" i="49" s="1"/>
  <c r="Q68" i="49" s="1"/>
  <c r="S69" i="49"/>
  <c r="O65" i="49"/>
  <c r="P65" i="49" s="1"/>
  <c r="Q65" i="49" s="1"/>
  <c r="O66" i="49"/>
  <c r="P66" i="49" s="1"/>
  <c r="Q66" i="49" s="1"/>
  <c r="O62" i="49"/>
  <c r="P62" i="49" s="1"/>
  <c r="Q62" i="49" s="1"/>
  <c r="O63" i="49"/>
  <c r="P63" i="49" s="1"/>
  <c r="Q63" i="49" s="1"/>
  <c r="O60" i="49"/>
  <c r="P60" i="49" s="1"/>
  <c r="Q60" i="49" s="1"/>
  <c r="S53" i="49"/>
  <c r="O61" i="49"/>
  <c r="P61" i="49" s="1"/>
  <c r="Q61" i="49" s="1"/>
  <c r="T53" i="49"/>
  <c r="U53" i="49"/>
  <c r="O52" i="49"/>
  <c r="P52" i="49" s="1"/>
  <c r="Q52" i="49" s="1"/>
  <c r="V53" i="49"/>
  <c r="O51" i="49"/>
  <c r="P51" i="49" s="1"/>
  <c r="Q51" i="49" s="1"/>
  <c r="O50" i="49"/>
  <c r="P50" i="49" s="1"/>
  <c r="Q50" i="49" s="1"/>
  <c r="O49" i="49"/>
  <c r="P49" i="49" s="1"/>
  <c r="Q49" i="49" s="1"/>
  <c r="O48" i="49"/>
  <c r="P48" i="49" s="1"/>
  <c r="Q48" i="49" s="1"/>
  <c r="O47" i="49"/>
  <c r="P47" i="49" s="1"/>
  <c r="Q47" i="49" s="1"/>
  <c r="O46" i="49"/>
  <c r="P46" i="49" s="1"/>
  <c r="Q46" i="49" s="1"/>
  <c r="O45" i="49"/>
  <c r="P45" i="49" s="1"/>
  <c r="Q45" i="49" s="1"/>
  <c r="O44" i="49"/>
  <c r="P44" i="49" s="1"/>
  <c r="Q44" i="49" s="1"/>
  <c r="O36" i="49"/>
  <c r="P36" i="49" s="1"/>
  <c r="Q36" i="49" s="1"/>
  <c r="U37" i="49"/>
  <c r="V37" i="49"/>
  <c r="O35" i="49"/>
  <c r="P35" i="49" s="1"/>
  <c r="Q35" i="49" s="1"/>
  <c r="T37" i="49"/>
  <c r="O34" i="49"/>
  <c r="P34" i="49" s="1"/>
  <c r="Q34" i="49" s="1"/>
  <c r="O31" i="49"/>
  <c r="P31" i="49" s="1"/>
  <c r="Q31" i="49" s="1"/>
  <c r="O32" i="49"/>
  <c r="P32" i="49" s="1"/>
  <c r="Q32" i="49" s="1"/>
  <c r="O33" i="49"/>
  <c r="P33" i="49" s="1"/>
  <c r="Q33" i="49" s="1"/>
  <c r="O30" i="49"/>
  <c r="P30" i="49" s="1"/>
  <c r="Q30" i="49" s="1"/>
  <c r="O29" i="49"/>
  <c r="P29" i="49" s="1"/>
  <c r="Q29" i="49" s="1"/>
  <c r="O28" i="49"/>
  <c r="P28" i="49" s="1"/>
  <c r="Q28" i="49" s="1"/>
  <c r="K189" i="47"/>
  <c r="N189" i="47" s="1"/>
  <c r="O189" i="47" s="1"/>
  <c r="P189" i="47" s="1"/>
  <c r="K188" i="47"/>
  <c r="N188" i="47"/>
  <c r="O188" i="47" s="1"/>
  <c r="P188" i="47" s="1"/>
  <c r="K186" i="47"/>
  <c r="N186" i="47" s="1"/>
  <c r="O186" i="47" s="1"/>
  <c r="P186" i="47" s="1"/>
  <c r="K187" i="47"/>
  <c r="N187" i="47" s="1"/>
  <c r="O187" i="47" s="1"/>
  <c r="P187" i="47" s="1"/>
  <c r="K184" i="47"/>
  <c r="N184" i="47" s="1"/>
  <c r="O184" i="47" s="1"/>
  <c r="P184" i="47" s="1"/>
  <c r="K185" i="47"/>
  <c r="N185" i="47" s="1"/>
  <c r="O185" i="47" s="1"/>
  <c r="P185" i="47" s="1"/>
  <c r="K182" i="47"/>
  <c r="N182" i="47" s="1"/>
  <c r="O182" i="47" s="1"/>
  <c r="P182" i="47" s="1"/>
  <c r="K183" i="47"/>
  <c r="N183" i="47" s="1"/>
  <c r="O183" i="47" s="1"/>
  <c r="P183" i="47" s="1"/>
  <c r="K171" i="47"/>
  <c r="N171" i="47" s="1"/>
  <c r="O171" i="47" s="1"/>
  <c r="P171" i="47" s="1"/>
  <c r="K181" i="47"/>
  <c r="N181" i="47" s="1"/>
  <c r="O181" i="47" s="1"/>
  <c r="P181" i="47" s="1"/>
  <c r="K169" i="47"/>
  <c r="N169" i="47" s="1"/>
  <c r="O169" i="47" s="1"/>
  <c r="P169" i="47" s="1"/>
  <c r="K172" i="47"/>
  <c r="N172" i="47" s="1"/>
  <c r="O172" i="47" s="1"/>
  <c r="P172" i="47" s="1"/>
  <c r="K170" i="47"/>
  <c r="N170" i="47" s="1"/>
  <c r="O170" i="47" s="1"/>
  <c r="P170" i="47" s="1"/>
  <c r="K167" i="47"/>
  <c r="N167" i="47" s="1"/>
  <c r="O167" i="47" s="1"/>
  <c r="P167" i="47" s="1"/>
  <c r="K168" i="47"/>
  <c r="N168" i="47" s="1"/>
  <c r="O168" i="47" s="1"/>
  <c r="P168" i="47" s="1"/>
  <c r="K166" i="47"/>
  <c r="N166" i="47" s="1"/>
  <c r="O166" i="47" s="1"/>
  <c r="P166" i="47" s="1"/>
  <c r="K165" i="47"/>
  <c r="N165" i="47" s="1"/>
  <c r="O165" i="47" s="1"/>
  <c r="P165" i="47" s="1"/>
  <c r="K164" i="47"/>
  <c r="N164" i="47" s="1"/>
  <c r="O164" i="47" s="1"/>
  <c r="P164" i="47" s="1"/>
  <c r="K155" i="47"/>
  <c r="N155" i="47" s="1"/>
  <c r="O155" i="47" s="1"/>
  <c r="P155" i="47" s="1"/>
  <c r="K153" i="47"/>
  <c r="N153" i="47" s="1"/>
  <c r="O153" i="47" s="1"/>
  <c r="P153" i="47" s="1"/>
  <c r="K154" i="47"/>
  <c r="N154" i="47" s="1"/>
  <c r="O154" i="47" s="1"/>
  <c r="P154" i="47" s="1"/>
  <c r="K152" i="47"/>
  <c r="N152" i="47" s="1"/>
  <c r="O152" i="47" s="1"/>
  <c r="P152" i="47" s="1"/>
  <c r="K148" i="47"/>
  <c r="N148" i="47" s="1"/>
  <c r="O148" i="47" s="1"/>
  <c r="P148" i="47" s="1"/>
  <c r="K151" i="47"/>
  <c r="N151" i="47" s="1"/>
  <c r="O151" i="47" s="1"/>
  <c r="P151" i="47" s="1"/>
  <c r="K150" i="47"/>
  <c r="N150" i="47" s="1"/>
  <c r="O150" i="47" s="1"/>
  <c r="P150" i="47" s="1"/>
  <c r="K149" i="47"/>
  <c r="N149" i="47" s="1"/>
  <c r="O149" i="47" s="1"/>
  <c r="P149" i="47" s="1"/>
  <c r="K147" i="47"/>
  <c r="N147" i="47" s="1"/>
  <c r="O147" i="47" s="1"/>
  <c r="P147" i="47" s="1"/>
  <c r="K138" i="47"/>
  <c r="N138" i="47" s="1"/>
  <c r="O138" i="47" s="1"/>
  <c r="P138" i="47" s="1"/>
  <c r="K137" i="47"/>
  <c r="N137" i="47" s="1"/>
  <c r="O137" i="47" s="1"/>
  <c r="P137" i="47" s="1"/>
  <c r="K136" i="47"/>
  <c r="N136" i="47" s="1"/>
  <c r="O136" i="47" s="1"/>
  <c r="P136" i="47" s="1"/>
  <c r="K134" i="47"/>
  <c r="N134" i="47" s="1"/>
  <c r="O134" i="47" s="1"/>
  <c r="P134" i="47" s="1"/>
  <c r="K135" i="47"/>
  <c r="N135" i="47" s="1"/>
  <c r="O135" i="47" s="1"/>
  <c r="P135" i="47" s="1"/>
  <c r="K133" i="47"/>
  <c r="N133" i="47" s="1"/>
  <c r="O133" i="47" s="1"/>
  <c r="P133" i="47" s="1"/>
  <c r="K132" i="47"/>
  <c r="N132" i="47" s="1"/>
  <c r="O132" i="47" s="1"/>
  <c r="P132" i="47" s="1"/>
  <c r="K131" i="47"/>
  <c r="N131" i="47" s="1"/>
  <c r="O131" i="47" s="1"/>
  <c r="P131" i="47" s="1"/>
  <c r="K120" i="47"/>
  <c r="N120" i="47" s="1"/>
  <c r="O120" i="47" s="1"/>
  <c r="P120" i="47" s="1"/>
  <c r="K130" i="47"/>
  <c r="N130" i="47" s="1"/>
  <c r="O130" i="47" s="1"/>
  <c r="P130" i="47" s="1"/>
  <c r="K121" i="47"/>
  <c r="N121" i="47" s="1"/>
  <c r="O121" i="47" s="1"/>
  <c r="P121" i="47" s="1"/>
  <c r="K119" i="47"/>
  <c r="N119" i="47" s="1"/>
  <c r="O119" i="47" s="1"/>
  <c r="P119" i="47" s="1"/>
  <c r="K118" i="47"/>
  <c r="N118" i="47" s="1"/>
  <c r="O118" i="47" s="1"/>
  <c r="P118" i="47" s="1"/>
  <c r="K117" i="47"/>
  <c r="N117" i="47" s="1"/>
  <c r="O117" i="47" s="1"/>
  <c r="P117" i="47" s="1"/>
  <c r="K116" i="47"/>
  <c r="N116" i="47" s="1"/>
  <c r="O116" i="47" s="1"/>
  <c r="P116" i="47" s="1"/>
  <c r="K115" i="47"/>
  <c r="N115" i="47" s="1"/>
  <c r="O115" i="47" s="1"/>
  <c r="P115" i="47" s="1"/>
  <c r="K114" i="47"/>
  <c r="N114" i="47" s="1"/>
  <c r="O114" i="47" s="1"/>
  <c r="P114" i="47" s="1"/>
  <c r="K103" i="47"/>
  <c r="N103" i="47" s="1"/>
  <c r="O103" i="47" s="1"/>
  <c r="P103" i="47" s="1"/>
  <c r="K113" i="47"/>
  <c r="N113" i="47" s="1"/>
  <c r="O113" i="47" s="1"/>
  <c r="P113" i="47" s="1"/>
  <c r="K104" i="47"/>
  <c r="N104" i="47" s="1"/>
  <c r="O104" i="47" s="1"/>
  <c r="P104" i="47" s="1"/>
  <c r="K102" i="47"/>
  <c r="N102" i="47" s="1"/>
  <c r="O102" i="47" s="1"/>
  <c r="P102" i="47" s="1"/>
  <c r="K101" i="47"/>
  <c r="N101" i="47" s="1"/>
  <c r="O101" i="47" s="1"/>
  <c r="P101" i="47" s="1"/>
  <c r="K100" i="47"/>
  <c r="N100" i="47" s="1"/>
  <c r="O100" i="47" s="1"/>
  <c r="P100" i="47" s="1"/>
  <c r="K99" i="47"/>
  <c r="N99" i="47" s="1"/>
  <c r="O99" i="47" s="1"/>
  <c r="P99" i="47" s="1"/>
  <c r="K87" i="47"/>
  <c r="N87" i="47" s="1"/>
  <c r="O87" i="47" s="1"/>
  <c r="P87" i="47" s="1"/>
  <c r="K98" i="47"/>
  <c r="N98" i="47" s="1"/>
  <c r="O98" i="47" s="1"/>
  <c r="P98" i="47" s="1"/>
  <c r="K97" i="47"/>
  <c r="N97" i="47" s="1"/>
  <c r="O97" i="47" s="1"/>
  <c r="P97" i="47" s="1"/>
  <c r="K96" i="47"/>
  <c r="N96" i="47" s="1"/>
  <c r="O96" i="47" s="1"/>
  <c r="P96" i="47" s="1"/>
  <c r="K86" i="47"/>
  <c r="N86" i="47" s="1"/>
  <c r="O86" i="47" s="1"/>
  <c r="P86" i="47" s="1"/>
  <c r="K85" i="47"/>
  <c r="N85" i="47" s="1"/>
  <c r="O85" i="47" s="1"/>
  <c r="P85" i="47" s="1"/>
  <c r="K84" i="47"/>
  <c r="N84" i="47" s="1"/>
  <c r="O84" i="47" s="1"/>
  <c r="P84" i="47" s="1"/>
  <c r="K83" i="47"/>
  <c r="N83" i="47" s="1"/>
  <c r="O83" i="47" s="1"/>
  <c r="P83" i="47" s="1"/>
  <c r="K82" i="47"/>
  <c r="N82" i="47" s="1"/>
  <c r="O82" i="47" s="1"/>
  <c r="P82" i="47" s="1"/>
  <c r="K80" i="47"/>
  <c r="N80" i="47" s="1"/>
  <c r="O80" i="47" s="1"/>
  <c r="P80" i="47" s="1"/>
  <c r="K81" i="47"/>
  <c r="N81" i="47" s="1"/>
  <c r="O81" i="47" s="1"/>
  <c r="P81" i="47" s="1"/>
  <c r="K79" i="47"/>
  <c r="N79" i="47" s="1"/>
  <c r="O79" i="47" s="1"/>
  <c r="P79" i="47" s="1"/>
  <c r="K69" i="47"/>
  <c r="N69" i="47" s="1"/>
  <c r="O69" i="47" s="1"/>
  <c r="P69" i="47" s="1"/>
  <c r="K70" i="47"/>
  <c r="N70" i="47" s="1"/>
  <c r="O70" i="47" s="1"/>
  <c r="P70" i="47" s="1"/>
  <c r="K67" i="47"/>
  <c r="N67" i="47" s="1"/>
  <c r="O67" i="47" s="1"/>
  <c r="P67" i="47" s="1"/>
  <c r="K68" i="47"/>
  <c r="N68" i="47" s="1"/>
  <c r="O68" i="47" s="1"/>
  <c r="P68" i="47" s="1"/>
  <c r="K66" i="47"/>
  <c r="N66" i="47" s="1"/>
  <c r="O66" i="47" s="1"/>
  <c r="P66" i="47" s="1"/>
  <c r="K65" i="47"/>
  <c r="N65" i="47" s="1"/>
  <c r="O65" i="47" s="1"/>
  <c r="P65" i="47" s="1"/>
  <c r="K63" i="47"/>
  <c r="N63" i="47" s="1"/>
  <c r="O63" i="47" s="1"/>
  <c r="P63" i="47" s="1"/>
  <c r="K64" i="47"/>
  <c r="N64" i="47" s="1"/>
  <c r="O64" i="47" s="1"/>
  <c r="P64" i="47" s="1"/>
  <c r="K62" i="47"/>
  <c r="N62" i="47" s="1"/>
  <c r="O62" i="47" s="1"/>
  <c r="P62" i="47" s="1"/>
  <c r="K53" i="47"/>
  <c r="N53" i="47" s="1"/>
  <c r="O53" i="47" s="1"/>
  <c r="P53" i="47" s="1"/>
  <c r="K52" i="47"/>
  <c r="N52" i="47" s="1"/>
  <c r="O52" i="47" s="1"/>
  <c r="P52" i="47" s="1"/>
  <c r="K51" i="47"/>
  <c r="N51" i="47" s="1"/>
  <c r="O51" i="47" s="1"/>
  <c r="P51" i="47" s="1"/>
  <c r="K50" i="47"/>
  <c r="N50" i="47" s="1"/>
  <c r="O50" i="47" s="1"/>
  <c r="P50" i="47" s="1"/>
  <c r="K48" i="47"/>
  <c r="N48" i="47" s="1"/>
  <c r="O48" i="47" s="1"/>
  <c r="P48" i="47" s="1"/>
  <c r="K49" i="47"/>
  <c r="N49" i="47" s="1"/>
  <c r="O49" i="47" s="1"/>
  <c r="P49" i="47" s="1"/>
  <c r="K46" i="47"/>
  <c r="N46" i="47" s="1"/>
  <c r="O46" i="47" s="1"/>
  <c r="P46" i="47" s="1"/>
  <c r="K47" i="47"/>
  <c r="N47" i="47" s="1"/>
  <c r="O47" i="47" s="1"/>
  <c r="P47" i="47" s="1"/>
  <c r="K45" i="47"/>
  <c r="N45" i="47" s="1"/>
  <c r="O45" i="47" s="1"/>
  <c r="P45" i="47" s="1"/>
  <c r="K36" i="47"/>
  <c r="N36" i="47" s="1"/>
  <c r="O36" i="47" s="1"/>
  <c r="P36" i="47" s="1"/>
  <c r="K35" i="47"/>
  <c r="N35" i="47" s="1"/>
  <c r="O35" i="47" s="1"/>
  <c r="P35" i="47" s="1"/>
  <c r="K34" i="47"/>
  <c r="N34" i="47" s="1"/>
  <c r="O34" i="47" s="1"/>
  <c r="P34" i="47" s="1"/>
  <c r="K33" i="47"/>
  <c r="N33" i="47" s="1"/>
  <c r="O33" i="47" s="1"/>
  <c r="P33" i="47" s="1"/>
  <c r="K31" i="47"/>
  <c r="N31" i="47" s="1"/>
  <c r="O31" i="47" s="1"/>
  <c r="P31" i="47" s="1"/>
  <c r="K32" i="47"/>
  <c r="N32" i="47" s="1"/>
  <c r="O32" i="47" s="1"/>
  <c r="P32" i="47" s="1"/>
  <c r="K30" i="47"/>
  <c r="N30" i="47" s="1"/>
  <c r="O30" i="47" s="1"/>
  <c r="P30" i="47" s="1"/>
  <c r="K29" i="47"/>
  <c r="N29" i="47" s="1"/>
  <c r="O29" i="47" s="1"/>
  <c r="P29" i="47" s="1"/>
  <c r="K28" i="47"/>
  <c r="N28" i="47" s="1"/>
  <c r="O28" i="47" s="1"/>
  <c r="P28" i="47" s="1"/>
  <c r="J195" i="74"/>
  <c r="K195" i="74" s="1"/>
  <c r="L195" i="74" s="1"/>
  <c r="J197" i="74"/>
  <c r="K197" i="74" s="1"/>
  <c r="L197" i="74" s="1"/>
  <c r="J196" i="74"/>
  <c r="K196" i="74" s="1"/>
  <c r="L196" i="74" s="1"/>
  <c r="J194" i="74"/>
  <c r="K194" i="74" s="1"/>
  <c r="L194" i="74" s="1"/>
  <c r="J193" i="74"/>
  <c r="K193" i="74" s="1"/>
  <c r="L193" i="74" s="1"/>
  <c r="J192" i="74"/>
  <c r="K192" i="74" s="1"/>
  <c r="L192" i="74" s="1"/>
  <c r="J191" i="74"/>
  <c r="K191" i="74" s="1"/>
  <c r="L191" i="74" s="1"/>
  <c r="J180" i="74"/>
  <c r="K180" i="74" s="1"/>
  <c r="L180" i="74" s="1"/>
  <c r="J190" i="74"/>
  <c r="K190" i="74" s="1"/>
  <c r="L190" i="74" s="1"/>
  <c r="J189" i="74"/>
  <c r="K189" i="74" s="1"/>
  <c r="L189" i="74" s="1"/>
  <c r="J179" i="74"/>
  <c r="K179" i="74" s="1"/>
  <c r="L179" i="74" s="1"/>
  <c r="J178" i="74"/>
  <c r="K178" i="74" s="1"/>
  <c r="L178" i="74" s="1"/>
  <c r="J177" i="74"/>
  <c r="K177" i="74" s="1"/>
  <c r="L177" i="74" s="1"/>
  <c r="J176" i="74"/>
  <c r="K176" i="74" s="1"/>
  <c r="L176" i="74" s="1"/>
  <c r="J175" i="74"/>
  <c r="K175" i="74" s="1"/>
  <c r="L175" i="74" s="1"/>
  <c r="J174" i="74"/>
  <c r="K174" i="74" s="1"/>
  <c r="L174" i="74" s="1"/>
  <c r="J162" i="74"/>
  <c r="K162" i="74" s="1"/>
  <c r="L162" i="74" s="1"/>
  <c r="J173" i="74"/>
  <c r="K173" i="74" s="1"/>
  <c r="L173" i="74" s="1"/>
  <c r="J172" i="74"/>
  <c r="K172" i="74" s="1"/>
  <c r="L172" i="74" s="1"/>
  <c r="J163" i="74"/>
  <c r="K163" i="74" s="1"/>
  <c r="L163" i="74" s="1"/>
  <c r="J161" i="74"/>
  <c r="K161" i="74" s="1"/>
  <c r="L161" i="74" s="1"/>
  <c r="J160" i="74"/>
  <c r="K160" i="74" s="1"/>
  <c r="L160" i="74" s="1"/>
  <c r="J157" i="74"/>
  <c r="K157" i="74" s="1"/>
  <c r="L157" i="74" s="1"/>
  <c r="J159" i="74"/>
  <c r="K159" i="74" s="1"/>
  <c r="L159" i="74" s="1"/>
  <c r="J158" i="74"/>
  <c r="K158" i="74" s="1"/>
  <c r="L158" i="74" s="1"/>
  <c r="J156" i="74"/>
  <c r="K156" i="74" s="1"/>
  <c r="L156" i="74" s="1"/>
  <c r="J146" i="74"/>
  <c r="K146" i="74" s="1"/>
  <c r="L146" i="74" s="1"/>
  <c r="J155" i="74"/>
  <c r="K155" i="74" s="1"/>
  <c r="L155" i="74" s="1"/>
  <c r="J145" i="74"/>
  <c r="K145" i="74" s="1"/>
  <c r="L145" i="74" s="1"/>
  <c r="J144" i="74"/>
  <c r="K144" i="74" s="1"/>
  <c r="L144" i="74" s="1"/>
  <c r="J143" i="74"/>
  <c r="K143" i="74" s="1"/>
  <c r="L143" i="74" s="1"/>
  <c r="J142" i="74"/>
  <c r="K142" i="74" s="1"/>
  <c r="L142" i="74" s="1"/>
  <c r="J141" i="74"/>
  <c r="K141" i="74" s="1"/>
  <c r="L141" i="74" s="1"/>
  <c r="J140" i="74"/>
  <c r="K140" i="74" s="1"/>
  <c r="L140" i="74" s="1"/>
  <c r="J112" i="74"/>
  <c r="K112" i="74" s="1"/>
  <c r="L112" i="74" s="1"/>
  <c r="J138" i="74"/>
  <c r="K138" i="74" s="1"/>
  <c r="L138" i="74" s="1"/>
  <c r="J139" i="74"/>
  <c r="K139" i="74" s="1"/>
  <c r="L139" i="74" s="1"/>
  <c r="J111" i="74"/>
  <c r="K111" i="74" s="1"/>
  <c r="L111" i="74" s="1"/>
  <c r="J110" i="74"/>
  <c r="K110" i="74" s="1"/>
  <c r="L110" i="74" s="1"/>
  <c r="J109" i="74"/>
  <c r="K109" i="74" s="1"/>
  <c r="L109" i="74" s="1"/>
  <c r="J108" i="74"/>
  <c r="K108" i="74" s="1"/>
  <c r="L108" i="74" s="1"/>
  <c r="J106" i="74"/>
  <c r="K106" i="74" s="1"/>
  <c r="L106" i="74" s="1"/>
  <c r="J107" i="74"/>
  <c r="K107" i="74" s="1"/>
  <c r="L107" i="74" s="1"/>
  <c r="J104" i="74"/>
  <c r="K104" i="74" s="1"/>
  <c r="L104" i="74" s="1"/>
  <c r="J105" i="74"/>
  <c r="K105" i="74" s="1"/>
  <c r="L105" i="74" s="1"/>
  <c r="J129" i="74"/>
  <c r="K129" i="74" s="1"/>
  <c r="L129" i="74" s="1"/>
  <c r="J128" i="74"/>
  <c r="K128" i="74" s="1"/>
  <c r="L128" i="74" s="1"/>
  <c r="J127" i="74"/>
  <c r="K127" i="74" s="1"/>
  <c r="L127" i="74" s="1"/>
  <c r="J95" i="74"/>
  <c r="K95" i="74" s="1"/>
  <c r="L95" i="74" s="1"/>
  <c r="J123" i="74"/>
  <c r="K123" i="74" s="1"/>
  <c r="L123" i="74" s="1"/>
  <c r="J126" i="74"/>
  <c r="K126" i="74" s="1"/>
  <c r="L126" i="74" s="1"/>
  <c r="J125" i="74"/>
  <c r="K125" i="74" s="1"/>
  <c r="L125" i="74" s="1"/>
  <c r="J124" i="74"/>
  <c r="K124" i="74" s="1"/>
  <c r="L124" i="74" s="1"/>
  <c r="J122" i="74"/>
  <c r="K122" i="74" s="1"/>
  <c r="L122" i="74" s="1"/>
  <c r="J121" i="74"/>
  <c r="K121" i="74" s="1"/>
  <c r="L121" i="74" s="1"/>
  <c r="J94" i="74"/>
  <c r="K94" i="74" s="1"/>
  <c r="L94" i="74" s="1"/>
  <c r="J92" i="74"/>
  <c r="K92" i="74" s="1"/>
  <c r="L92" i="74" s="1"/>
  <c r="J93" i="74"/>
  <c r="K93" i="74" s="1"/>
  <c r="L93" i="74" s="1"/>
  <c r="J91" i="74"/>
  <c r="K91" i="74" s="1"/>
  <c r="L91" i="74" s="1"/>
  <c r="J90" i="74"/>
  <c r="K90" i="74" s="1"/>
  <c r="L90" i="74" s="1"/>
  <c r="J89" i="74"/>
  <c r="K89" i="74" s="1"/>
  <c r="L89" i="74" s="1"/>
  <c r="J88" i="74"/>
  <c r="K88" i="74" s="1"/>
  <c r="L88" i="74" s="1"/>
  <c r="J78" i="74"/>
  <c r="K78" i="74" s="1"/>
  <c r="L78" i="74" s="1"/>
  <c r="J87" i="74"/>
  <c r="K87" i="74" s="1"/>
  <c r="L87" i="74" s="1"/>
  <c r="J77" i="74"/>
  <c r="K77" i="74" s="1"/>
  <c r="L77" i="74" s="1"/>
  <c r="J76" i="74"/>
  <c r="K76" i="74" s="1"/>
  <c r="L76" i="74" s="1"/>
  <c r="J75" i="74"/>
  <c r="K75" i="74" s="1"/>
  <c r="L75" i="74" s="1"/>
  <c r="J74" i="74"/>
  <c r="K74" i="74" s="1"/>
  <c r="L74" i="74" s="1"/>
  <c r="J73" i="74"/>
  <c r="K73" i="74" s="1"/>
  <c r="L73" i="74" s="1"/>
  <c r="J72" i="74"/>
  <c r="K72" i="74" s="1"/>
  <c r="L72" i="74" s="1"/>
  <c r="J71" i="74"/>
  <c r="K71" i="74" s="1"/>
  <c r="L71" i="74" s="1"/>
  <c r="J70" i="74"/>
  <c r="K70" i="74" s="1"/>
  <c r="L70" i="74" s="1"/>
  <c r="J61" i="74"/>
  <c r="K61" i="74" s="1"/>
  <c r="L61" i="74" s="1"/>
  <c r="J60" i="74"/>
  <c r="K60" i="74" s="1"/>
  <c r="L60" i="74" s="1"/>
  <c r="J57" i="74"/>
  <c r="K57" i="74" s="1"/>
  <c r="L57" i="74" s="1"/>
  <c r="J59" i="74"/>
  <c r="K59" i="74" s="1"/>
  <c r="L59" i="74" s="1"/>
  <c r="J58" i="74"/>
  <c r="K58" i="74" s="1"/>
  <c r="L58" i="74" s="1"/>
  <c r="J56" i="74"/>
  <c r="K56" i="74" s="1"/>
  <c r="L56" i="74" s="1"/>
  <c r="J55" i="74"/>
  <c r="K55" i="74" s="1"/>
  <c r="L55" i="74" s="1"/>
  <c r="J54" i="74"/>
  <c r="K54" i="74" s="1"/>
  <c r="L54" i="74" s="1"/>
  <c r="J53" i="74"/>
  <c r="K53" i="74" s="1"/>
  <c r="L53" i="74" s="1"/>
  <c r="J44" i="74"/>
  <c r="K44" i="74" s="1"/>
  <c r="L44" i="74" s="1"/>
  <c r="J43" i="74"/>
  <c r="K43" i="74" s="1"/>
  <c r="L43" i="74" s="1"/>
  <c r="J40" i="74"/>
  <c r="K40" i="74" s="1"/>
  <c r="L40" i="74" s="1"/>
  <c r="J42" i="74"/>
  <c r="K42" i="74" s="1"/>
  <c r="L42" i="74" s="1"/>
  <c r="J41" i="74"/>
  <c r="K41" i="74" s="1"/>
  <c r="L41" i="74" s="1"/>
  <c r="J39" i="74"/>
  <c r="K39" i="74" s="1"/>
  <c r="L39" i="74" s="1"/>
  <c r="J38" i="74"/>
  <c r="K38" i="74" s="1"/>
  <c r="L38" i="74" s="1"/>
  <c r="J37" i="74"/>
  <c r="K37" i="74" s="1"/>
  <c r="L37" i="74" s="1"/>
  <c r="J36" i="74"/>
  <c r="K36" i="74" s="1"/>
  <c r="L36" i="74" s="1"/>
  <c r="J197" i="83"/>
  <c r="K197" i="83" s="1"/>
  <c r="L197" i="83" s="1"/>
  <c r="J199" i="83"/>
  <c r="K199" i="83" s="1"/>
  <c r="L199" i="83" s="1"/>
  <c r="J201" i="83"/>
  <c r="K201" i="83" s="1"/>
  <c r="L201" i="83" s="1"/>
  <c r="J203" i="83"/>
  <c r="K203" i="83" s="1"/>
  <c r="L203" i="83" s="1"/>
  <c r="J195" i="83"/>
  <c r="K195" i="83" s="1"/>
  <c r="L195" i="83" s="1"/>
  <c r="J183" i="83"/>
  <c r="K183" i="83" s="1"/>
  <c r="L183" i="83" s="1"/>
  <c r="J182" i="83"/>
  <c r="K182" i="83" s="1"/>
  <c r="L182" i="83" s="1"/>
  <c r="J184" i="83"/>
  <c r="K184" i="83" s="1"/>
  <c r="L184" i="83" s="1"/>
  <c r="J185" i="83"/>
  <c r="K185" i="83" s="1"/>
  <c r="L185" i="83" s="1"/>
  <c r="J179" i="83"/>
  <c r="K179" i="83" s="1"/>
  <c r="L179" i="83" s="1"/>
  <c r="J181" i="83"/>
  <c r="K181" i="83" s="1"/>
  <c r="L181" i="83" s="1"/>
  <c r="J178" i="83"/>
  <c r="K178" i="83" s="1"/>
  <c r="L178" i="83" s="1"/>
  <c r="J180" i="83"/>
  <c r="K180" i="83" s="1"/>
  <c r="L180" i="83" s="1"/>
  <c r="J177" i="83"/>
  <c r="K177" i="83" s="1"/>
  <c r="L177" i="83" s="1"/>
  <c r="J165" i="83"/>
  <c r="K165" i="83" s="1"/>
  <c r="L165" i="83" s="1"/>
  <c r="J162" i="83"/>
  <c r="K162" i="83" s="1"/>
  <c r="L162" i="83" s="1"/>
  <c r="J164" i="83"/>
  <c r="K164" i="83" s="1"/>
  <c r="L164" i="83" s="1"/>
  <c r="J166" i="83"/>
  <c r="K166" i="83" s="1"/>
  <c r="L166" i="83" s="1"/>
  <c r="J167" i="83"/>
  <c r="K167" i="83" s="1"/>
  <c r="L167" i="83" s="1"/>
  <c r="J163" i="83"/>
  <c r="K163" i="83" s="1"/>
  <c r="L163" i="83" s="1"/>
  <c r="J160" i="83"/>
  <c r="K160" i="83" s="1"/>
  <c r="L160" i="83" s="1"/>
  <c r="J161" i="83"/>
  <c r="K161" i="83" s="1"/>
  <c r="L161" i="83" s="1"/>
  <c r="J159" i="83"/>
  <c r="K159" i="83" s="1"/>
  <c r="L159" i="83" s="1"/>
  <c r="J149" i="83"/>
  <c r="K149" i="83" s="1"/>
  <c r="L149" i="83" s="1"/>
  <c r="J146" i="83"/>
  <c r="K146" i="83" s="1"/>
  <c r="L146" i="83" s="1"/>
  <c r="J148" i="83"/>
  <c r="K148" i="83" s="1"/>
  <c r="L148" i="83" s="1"/>
  <c r="J147" i="83"/>
  <c r="K147" i="83" s="1"/>
  <c r="L147" i="83" s="1"/>
  <c r="J143" i="83"/>
  <c r="K143" i="83" s="1"/>
  <c r="L143" i="83" s="1"/>
  <c r="J145" i="83"/>
  <c r="K145" i="83" s="1"/>
  <c r="L145" i="83" s="1"/>
  <c r="J142" i="83"/>
  <c r="K142" i="83" s="1"/>
  <c r="L142" i="83" s="1"/>
  <c r="J144" i="83"/>
  <c r="K144" i="83" s="1"/>
  <c r="L144" i="83" s="1"/>
  <c r="J141" i="83"/>
  <c r="K141" i="83" s="1"/>
  <c r="L141" i="83" s="1"/>
  <c r="J129" i="83"/>
  <c r="K129" i="83" s="1"/>
  <c r="L129" i="83" s="1"/>
  <c r="J130" i="83"/>
  <c r="K130" i="83" s="1"/>
  <c r="L130" i="83" s="1"/>
  <c r="J131" i="83"/>
  <c r="K131" i="83" s="1"/>
  <c r="L131" i="83" s="1"/>
  <c r="J128" i="83"/>
  <c r="K128" i="83" s="1"/>
  <c r="L128" i="83" s="1"/>
  <c r="J127" i="83"/>
  <c r="K127" i="83" s="1"/>
  <c r="L127" i="83" s="1"/>
  <c r="J123" i="83"/>
  <c r="K123" i="83" s="1"/>
  <c r="L123" i="83" s="1"/>
  <c r="J125" i="83"/>
  <c r="K125" i="83" s="1"/>
  <c r="L125" i="83" s="1"/>
  <c r="J124" i="83"/>
  <c r="K124" i="83" s="1"/>
  <c r="L124" i="83" s="1"/>
  <c r="J126" i="83"/>
  <c r="K126" i="83" s="1"/>
  <c r="L126" i="83" s="1"/>
  <c r="J110" i="83"/>
  <c r="K110" i="83" s="1"/>
  <c r="L110" i="83" s="1"/>
  <c r="J107" i="83"/>
  <c r="K107" i="83" s="1"/>
  <c r="L107" i="83" s="1"/>
  <c r="J109" i="83"/>
  <c r="K109" i="83" s="1"/>
  <c r="L109" i="83" s="1"/>
  <c r="J111" i="83"/>
  <c r="K111" i="83" s="1"/>
  <c r="L111" i="83" s="1"/>
  <c r="J113" i="83"/>
  <c r="K113" i="83" s="1"/>
  <c r="L113" i="83" s="1"/>
  <c r="J112" i="83"/>
  <c r="K112" i="83" s="1"/>
  <c r="L112" i="83" s="1"/>
  <c r="J108" i="83"/>
  <c r="K108" i="83" s="1"/>
  <c r="L108" i="83" s="1"/>
  <c r="J93" i="83"/>
  <c r="K93" i="83" s="1"/>
  <c r="L93" i="83" s="1"/>
  <c r="J95" i="83"/>
  <c r="K95" i="83" s="1"/>
  <c r="L95" i="83" s="1"/>
  <c r="J106" i="83"/>
  <c r="K106" i="83" s="1"/>
  <c r="L106" i="83" s="1"/>
  <c r="J105" i="83"/>
  <c r="K105" i="83" s="1"/>
  <c r="L105" i="83" s="1"/>
  <c r="J94" i="83"/>
  <c r="K94" i="83" s="1"/>
  <c r="L94" i="83" s="1"/>
  <c r="J90" i="83"/>
  <c r="K90" i="83" s="1"/>
  <c r="L90" i="83" s="1"/>
  <c r="J92" i="83"/>
  <c r="K92" i="83" s="1"/>
  <c r="L92" i="83" s="1"/>
  <c r="J88" i="83"/>
  <c r="K88" i="83" s="1"/>
  <c r="L88" i="83" s="1"/>
  <c r="J89" i="83"/>
  <c r="K89" i="83" s="1"/>
  <c r="L89" i="83" s="1"/>
  <c r="J91" i="83"/>
  <c r="K91" i="83" s="1"/>
  <c r="L91" i="83" s="1"/>
  <c r="J87" i="83"/>
  <c r="K87" i="83" s="1"/>
  <c r="L87" i="83" s="1"/>
  <c r="J78" i="83"/>
  <c r="K78" i="83" s="1"/>
  <c r="L78" i="83" s="1"/>
  <c r="J75" i="83"/>
  <c r="K75" i="83" s="1"/>
  <c r="L75" i="83" s="1"/>
  <c r="J77" i="83"/>
  <c r="K77" i="83" s="1"/>
  <c r="L77" i="83" s="1"/>
  <c r="J76" i="83"/>
  <c r="K76" i="83" s="1"/>
  <c r="L76" i="83" s="1"/>
  <c r="J72" i="83"/>
  <c r="K72" i="83" s="1"/>
  <c r="L72" i="83" s="1"/>
  <c r="J73" i="83"/>
  <c r="K73" i="83" s="1"/>
  <c r="L73" i="83" s="1"/>
  <c r="J74" i="83"/>
  <c r="K74" i="83" s="1"/>
  <c r="L74" i="83" s="1"/>
  <c r="J71" i="83"/>
  <c r="K71" i="83" s="1"/>
  <c r="L71" i="83" s="1"/>
  <c r="J70" i="83"/>
  <c r="K70" i="83" s="1"/>
  <c r="L70" i="83" s="1"/>
  <c r="J60" i="83"/>
  <c r="K60" i="83" s="1"/>
  <c r="L60" i="83" s="1"/>
  <c r="J59" i="83"/>
  <c r="K59" i="83" s="1"/>
  <c r="L59" i="83" s="1"/>
  <c r="J61" i="83"/>
  <c r="K61" i="83" s="1"/>
  <c r="L61" i="83" s="1"/>
  <c r="J56" i="83"/>
  <c r="K56" i="83" s="1"/>
  <c r="L56" i="83" s="1"/>
  <c r="J58" i="83"/>
  <c r="K58" i="83" s="1"/>
  <c r="L58" i="83" s="1"/>
  <c r="J55" i="83"/>
  <c r="K55" i="83" s="1"/>
  <c r="L55" i="83" s="1"/>
  <c r="J57" i="83"/>
  <c r="K57" i="83" s="1"/>
  <c r="L57" i="83" s="1"/>
  <c r="J53" i="83"/>
  <c r="K53" i="83" s="1"/>
  <c r="L53" i="83" s="1"/>
  <c r="J54" i="83"/>
  <c r="K54" i="83" s="1"/>
  <c r="L54" i="83" s="1"/>
  <c r="J44" i="83"/>
  <c r="K44" i="83" s="1"/>
  <c r="L44" i="83" s="1"/>
  <c r="J43" i="83"/>
  <c r="K43" i="83" s="1"/>
  <c r="L43" i="83" s="1"/>
  <c r="J42" i="83"/>
  <c r="K42" i="83" s="1"/>
  <c r="L42" i="83" s="1"/>
  <c r="J40" i="83"/>
  <c r="K40" i="83" s="1"/>
  <c r="L40" i="83" s="1"/>
  <c r="J41" i="83"/>
  <c r="K41" i="83" s="1"/>
  <c r="L41" i="83" s="1"/>
  <c r="J38" i="83"/>
  <c r="K38" i="83" s="1"/>
  <c r="L38" i="83" s="1"/>
  <c r="J37" i="83"/>
  <c r="K37" i="83" s="1"/>
  <c r="L37" i="83" s="1"/>
  <c r="J39" i="83"/>
  <c r="K39" i="83" s="1"/>
  <c r="L39" i="83" s="1"/>
  <c r="J36" i="83"/>
  <c r="K36" i="83" s="1"/>
  <c r="L36" i="83" s="1"/>
  <c r="E17" i="31"/>
  <c r="D35" i="84"/>
  <c r="P22" i="63"/>
  <c r="Q22" i="63"/>
  <c r="R22" i="63"/>
  <c r="S22" i="63"/>
  <c r="T22" i="63"/>
  <c r="U22" i="63"/>
  <c r="V22" i="63"/>
  <c r="W22" i="63"/>
  <c r="X22" i="63"/>
  <c r="Y22" i="63"/>
  <c r="Z22" i="63"/>
  <c r="O22" i="63"/>
  <c r="L180" i="47"/>
  <c r="L13" i="81" l="1"/>
  <c r="L14" i="81"/>
  <c r="L15" i="81"/>
  <c r="L16" i="81"/>
  <c r="L17" i="81"/>
  <c r="L18" i="81"/>
  <c r="L19" i="81"/>
  <c r="L12" i="81"/>
  <c r="E62" i="58" l="1"/>
  <c r="C81" i="80" l="1"/>
  <c r="C75" i="80"/>
  <c r="C69" i="80"/>
  <c r="C63" i="80"/>
  <c r="C57" i="80"/>
  <c r="C51" i="80"/>
  <c r="C45" i="80"/>
  <c r="C39" i="80"/>
  <c r="C33" i="80"/>
  <c r="C27" i="80"/>
  <c r="D22" i="29" l="1"/>
  <c r="E22" i="29"/>
  <c r="F22" i="29"/>
  <c r="C22" i="29"/>
  <c r="D22" i="30"/>
  <c r="E22" i="30"/>
  <c r="F22" i="30"/>
  <c r="C22" i="30"/>
  <c r="B1" i="58" l="1"/>
  <c r="B231" i="83"/>
  <c r="B230" i="83"/>
  <c r="B229" i="83"/>
  <c r="B228" i="83"/>
  <c r="B227" i="83"/>
  <c r="B226" i="83"/>
  <c r="B225" i="83"/>
  <c r="B224" i="83"/>
  <c r="B219" i="83"/>
  <c r="B218" i="83"/>
  <c r="B217" i="83"/>
  <c r="B216" i="83"/>
  <c r="B215" i="83"/>
  <c r="B214" i="83"/>
  <c r="B213" i="83"/>
  <c r="B212" i="83"/>
  <c r="A30" i="83"/>
  <c r="A29" i="83"/>
  <c r="A28" i="83"/>
  <c r="A27" i="83"/>
  <c r="A26" i="83"/>
  <c r="A25" i="83"/>
  <c r="A24" i="83"/>
  <c r="A23" i="83"/>
  <c r="L234" i="83"/>
  <c r="K14" i="58" s="1"/>
  <c r="M234" i="83"/>
  <c r="L14" i="58" s="1"/>
  <c r="N234" i="83"/>
  <c r="M14" i="58" s="1"/>
  <c r="F36" i="86" l="1"/>
  <c r="E36" i="86"/>
  <c r="D36" i="86"/>
  <c r="C36" i="86"/>
  <c r="A96" i="80" l="1"/>
  <c r="A95" i="80"/>
  <c r="A94" i="80"/>
  <c r="A88" i="80"/>
  <c r="A87" i="80"/>
  <c r="A86" i="80"/>
  <c r="M80" i="80"/>
  <c r="L80" i="80"/>
  <c r="K80" i="80"/>
  <c r="M74" i="80"/>
  <c r="L74" i="80"/>
  <c r="K74" i="80"/>
  <c r="M68" i="80"/>
  <c r="L68" i="80"/>
  <c r="K68" i="80"/>
  <c r="M62" i="80"/>
  <c r="L62" i="80"/>
  <c r="K62" i="80"/>
  <c r="M56" i="80"/>
  <c r="L56" i="80"/>
  <c r="K56" i="80"/>
  <c r="M50" i="80"/>
  <c r="L50" i="80"/>
  <c r="K50" i="80"/>
  <c r="M44" i="80"/>
  <c r="L44" i="80"/>
  <c r="K44" i="80"/>
  <c r="M38" i="80"/>
  <c r="L38" i="80"/>
  <c r="K38" i="80"/>
  <c r="M32" i="80"/>
  <c r="L32" i="80"/>
  <c r="K32" i="80"/>
  <c r="M26" i="80"/>
  <c r="L26" i="80"/>
  <c r="K26" i="80"/>
  <c r="M81" i="80"/>
  <c r="M75" i="80"/>
  <c r="M69" i="80"/>
  <c r="M63" i="80"/>
  <c r="M57" i="80"/>
  <c r="M51" i="80"/>
  <c r="M45" i="80"/>
  <c r="M39" i="80"/>
  <c r="M33" i="80"/>
  <c r="M27" i="80"/>
  <c r="G194" i="83"/>
  <c r="G176" i="83"/>
  <c r="G158" i="83"/>
  <c r="G140" i="83"/>
  <c r="G122" i="83"/>
  <c r="G104" i="83"/>
  <c r="G86" i="83"/>
  <c r="G69" i="83"/>
  <c r="G52" i="83"/>
  <c r="I35" i="83"/>
  <c r="G35" i="83"/>
  <c r="A75" i="62"/>
  <c r="H75" i="62"/>
  <c r="I75" i="62" s="1"/>
  <c r="J75" i="62"/>
  <c r="L75" i="62"/>
  <c r="M75" i="62"/>
  <c r="S75" i="62"/>
  <c r="S85" i="62" s="1"/>
  <c r="T75" i="62"/>
  <c r="T85" i="62" s="1"/>
  <c r="U75" i="62"/>
  <c r="U85" i="62" s="1"/>
  <c r="B88" i="80" l="1"/>
  <c r="L27" i="80"/>
  <c r="L81" i="80"/>
  <c r="L75" i="80"/>
  <c r="L69" i="80"/>
  <c r="L63" i="80"/>
  <c r="L57" i="80"/>
  <c r="L51" i="80"/>
  <c r="L45" i="80"/>
  <c r="L39" i="80"/>
  <c r="L33" i="80"/>
  <c r="K75" i="62"/>
  <c r="N75" i="62" s="1"/>
  <c r="O75" i="62" s="1"/>
  <c r="O85" i="62" s="1"/>
  <c r="E19" i="84"/>
  <c r="F19" i="84"/>
  <c r="G19" i="84"/>
  <c r="H19" i="84"/>
  <c r="I19" i="84"/>
  <c r="J19" i="84"/>
  <c r="J33" i="84"/>
  <c r="J34" i="84" s="1"/>
  <c r="I33" i="84"/>
  <c r="I34" i="84" s="1"/>
  <c r="H33" i="84"/>
  <c r="H34" i="84" s="1"/>
  <c r="G33" i="84"/>
  <c r="G34" i="84" s="1"/>
  <c r="F33" i="84"/>
  <c r="F34" i="84" s="1"/>
  <c r="E33" i="84"/>
  <c r="E34" i="84" s="1"/>
  <c r="J16" i="84"/>
  <c r="P75" i="62" l="1"/>
  <c r="P85" i="62" s="1"/>
  <c r="J35" i="84"/>
  <c r="I35" i="84"/>
  <c r="G35" i="84"/>
  <c r="E35" i="84"/>
  <c r="H35" i="84"/>
  <c r="F35" i="84"/>
  <c r="D96" i="80"/>
  <c r="L96" i="80"/>
  <c r="K96" i="80"/>
  <c r="E96" i="80"/>
  <c r="M96" i="80"/>
  <c r="G96" i="80"/>
  <c r="H96" i="80"/>
  <c r="F96" i="80"/>
  <c r="B96" i="80"/>
  <c r="C96" i="80"/>
  <c r="I96" i="80"/>
  <c r="J96" i="80"/>
  <c r="B87" i="80"/>
  <c r="H16" i="84"/>
  <c r="G16" i="84"/>
  <c r="I16" i="84"/>
  <c r="E16" i="84"/>
  <c r="D37" i="84" s="1"/>
  <c r="F16" i="84"/>
  <c r="R75" i="62" l="1"/>
  <c r="R85" i="62" s="1"/>
  <c r="D38" i="84"/>
  <c r="H95" i="80"/>
  <c r="K95" i="80"/>
  <c r="I95" i="80"/>
  <c r="D95" i="80"/>
  <c r="L95" i="80"/>
  <c r="J95" i="80"/>
  <c r="C95" i="80"/>
  <c r="G95" i="80"/>
  <c r="E95" i="80"/>
  <c r="M95" i="80"/>
  <c r="F95" i="80"/>
  <c r="B95" i="80"/>
  <c r="O41" i="84" l="1"/>
  <c r="M22" i="58" s="1"/>
  <c r="D41" i="84"/>
  <c r="B22" i="58" s="1"/>
  <c r="H41" i="84"/>
  <c r="F22" i="58" s="1"/>
  <c r="L41" i="84"/>
  <c r="J22" i="58" s="1"/>
  <c r="E41" i="84"/>
  <c r="C22" i="58" s="1"/>
  <c r="M41" i="84"/>
  <c r="K22" i="58" s="1"/>
  <c r="F41" i="84"/>
  <c r="D22" i="58" s="1"/>
  <c r="I41" i="84"/>
  <c r="G22" i="58" s="1"/>
  <c r="N41" i="84"/>
  <c r="L22" i="58" s="1"/>
  <c r="J41" i="84"/>
  <c r="H22" i="58" s="1"/>
  <c r="G41" i="84"/>
  <c r="E22" i="58" s="1"/>
  <c r="K41" i="84"/>
  <c r="I22" i="58" s="1"/>
  <c r="P41" i="84" l="1"/>
  <c r="N22" i="58"/>
  <c r="M30" i="64"/>
  <c r="M29" i="64"/>
  <c r="A171" i="62"/>
  <c r="A155" i="62"/>
  <c r="A139" i="62"/>
  <c r="A123" i="62"/>
  <c r="A107" i="62"/>
  <c r="A91" i="62"/>
  <c r="A59" i="62"/>
  <c r="A43" i="62"/>
  <c r="A27" i="62"/>
  <c r="B202" i="62"/>
  <c r="B201" i="62"/>
  <c r="B200" i="62"/>
  <c r="B199" i="62"/>
  <c r="B189" i="62"/>
  <c r="B192" i="62"/>
  <c r="B191" i="62"/>
  <c r="B190" i="62"/>
  <c r="U171" i="62"/>
  <c r="U181" i="62" s="1"/>
  <c r="T171" i="62"/>
  <c r="T181" i="62" s="1"/>
  <c r="S171" i="62"/>
  <c r="S181" i="62" s="1"/>
  <c r="U155" i="62"/>
  <c r="U165" i="62" s="1"/>
  <c r="T155" i="62"/>
  <c r="T165" i="62" s="1"/>
  <c r="S155" i="62"/>
  <c r="S165" i="62" s="1"/>
  <c r="U139" i="62"/>
  <c r="U149" i="62" s="1"/>
  <c r="T139" i="62"/>
  <c r="T149" i="62" s="1"/>
  <c r="S139" i="62"/>
  <c r="S149" i="62" s="1"/>
  <c r="U123" i="62"/>
  <c r="U133" i="62" s="1"/>
  <c r="T123" i="62"/>
  <c r="T133" i="62" s="1"/>
  <c r="S123" i="62"/>
  <c r="S133" i="62" s="1"/>
  <c r="U107" i="62"/>
  <c r="U117" i="62" s="1"/>
  <c r="T107" i="62"/>
  <c r="T117" i="62" s="1"/>
  <c r="S107" i="62"/>
  <c r="S117" i="62" s="1"/>
  <c r="U91" i="62"/>
  <c r="U101" i="62" s="1"/>
  <c r="T91" i="62"/>
  <c r="T101" i="62" s="1"/>
  <c r="S91" i="62"/>
  <c r="S101" i="62" s="1"/>
  <c r="R91" i="62"/>
  <c r="R101" i="62" s="1"/>
  <c r="U59" i="62"/>
  <c r="U69" i="62" s="1"/>
  <c r="T59" i="62"/>
  <c r="T69" i="62" s="1"/>
  <c r="S59" i="62"/>
  <c r="S69" i="62" s="1"/>
  <c r="U43" i="62"/>
  <c r="U53" i="62" s="1"/>
  <c r="T43" i="62"/>
  <c r="T53" i="62" s="1"/>
  <c r="S43" i="62"/>
  <c r="S53" i="62" s="1"/>
  <c r="U27" i="62"/>
  <c r="U37" i="62" s="1"/>
  <c r="T27" i="62"/>
  <c r="T37" i="62" s="1"/>
  <c r="S27" i="62"/>
  <c r="S37" i="62" s="1"/>
  <c r="J27" i="62"/>
  <c r="A171" i="49" l="1"/>
  <c r="A155" i="49"/>
  <c r="N171" i="49"/>
  <c r="M171" i="49"/>
  <c r="K171" i="49"/>
  <c r="J171" i="49"/>
  <c r="H171" i="49"/>
  <c r="I171" i="49" s="1"/>
  <c r="N155" i="49"/>
  <c r="M155" i="49"/>
  <c r="K155" i="49"/>
  <c r="J155" i="49"/>
  <c r="H155" i="49"/>
  <c r="I155" i="49" s="1"/>
  <c r="A139" i="49"/>
  <c r="A123" i="49"/>
  <c r="A107" i="49"/>
  <c r="N139" i="49"/>
  <c r="M139" i="49"/>
  <c r="K139" i="49"/>
  <c r="J139" i="49"/>
  <c r="H139" i="49"/>
  <c r="I139" i="49" s="1"/>
  <c r="N123" i="49"/>
  <c r="M123" i="49"/>
  <c r="K123" i="49"/>
  <c r="J123" i="49"/>
  <c r="H123" i="49"/>
  <c r="I123" i="49" s="1"/>
  <c r="N107" i="49"/>
  <c r="M107" i="49"/>
  <c r="K107" i="49"/>
  <c r="J107" i="49"/>
  <c r="H107" i="49"/>
  <c r="I107" i="49" s="1"/>
  <c r="A91" i="49"/>
  <c r="N91" i="49"/>
  <c r="M91" i="49"/>
  <c r="K91" i="49"/>
  <c r="J91" i="49"/>
  <c r="H91" i="49"/>
  <c r="I91" i="49" s="1"/>
  <c r="A75" i="49"/>
  <c r="A59" i="49"/>
  <c r="N75" i="49"/>
  <c r="M75" i="49"/>
  <c r="K75" i="49"/>
  <c r="J75" i="49"/>
  <c r="H75" i="49"/>
  <c r="I75" i="49" s="1"/>
  <c r="N59" i="49"/>
  <c r="M59" i="49"/>
  <c r="K59" i="49"/>
  <c r="J59" i="49"/>
  <c r="H59" i="49"/>
  <c r="I59" i="49" s="1"/>
  <c r="A43" i="49"/>
  <c r="N43" i="49"/>
  <c r="M43" i="49"/>
  <c r="K43" i="49"/>
  <c r="J43" i="49"/>
  <c r="H43" i="49"/>
  <c r="I43" i="49" s="1"/>
  <c r="A27" i="49"/>
  <c r="K27" i="49"/>
  <c r="C192" i="49" l="1"/>
  <c r="L155" i="49"/>
  <c r="O155" i="49" s="1"/>
  <c r="P155" i="49" s="1"/>
  <c r="P165" i="49" s="1"/>
  <c r="L139" i="49"/>
  <c r="O139" i="49" s="1"/>
  <c r="P139" i="49" s="1"/>
  <c r="P149" i="49" s="1"/>
  <c r="L123" i="49"/>
  <c r="O123" i="49" s="1"/>
  <c r="P123" i="49" s="1"/>
  <c r="P133" i="49" s="1"/>
  <c r="L171" i="49"/>
  <c r="O171" i="49" s="1"/>
  <c r="P171" i="49" s="1"/>
  <c r="P181" i="49" s="1"/>
  <c r="L107" i="49"/>
  <c r="O107" i="49" s="1"/>
  <c r="P107" i="49" s="1"/>
  <c r="P117" i="49" s="1"/>
  <c r="L91" i="49"/>
  <c r="O91" i="49" s="1"/>
  <c r="P91" i="49" s="1"/>
  <c r="P101" i="49" s="1"/>
  <c r="L75" i="49"/>
  <c r="O75" i="49" s="1"/>
  <c r="P75" i="49" s="1"/>
  <c r="P85" i="49" s="1"/>
  <c r="L43" i="49"/>
  <c r="O43" i="49" s="1"/>
  <c r="P43" i="49" s="1"/>
  <c r="P53" i="49" s="1"/>
  <c r="L59" i="49"/>
  <c r="O59" i="49" s="1"/>
  <c r="P59" i="49" s="1"/>
  <c r="P69" i="49" s="1"/>
  <c r="Q43" i="49" l="1"/>
  <c r="Q53" i="49" s="1"/>
  <c r="Q59" i="49"/>
  <c r="Q69" i="49" s="1"/>
  <c r="Q75" i="49"/>
  <c r="Q85" i="49" s="1"/>
  <c r="Q107" i="49"/>
  <c r="Q117" i="49" s="1"/>
  <c r="Q139" i="49"/>
  <c r="Q149" i="49" s="1"/>
  <c r="Q171" i="49"/>
  <c r="Q181" i="49" s="1"/>
  <c r="Q123" i="49"/>
  <c r="Q133" i="49" s="1"/>
  <c r="Q155" i="49"/>
  <c r="Q165" i="49" s="1"/>
  <c r="Q91" i="49"/>
  <c r="Q101" i="49" s="1"/>
  <c r="C191" i="49"/>
  <c r="M27" i="49"/>
  <c r="N27" i="49"/>
  <c r="J27" i="49"/>
  <c r="I194" i="83"/>
  <c r="I176" i="83"/>
  <c r="I158" i="83"/>
  <c r="I140" i="83"/>
  <c r="I122" i="83"/>
  <c r="I104" i="83"/>
  <c r="I86" i="83"/>
  <c r="I69" i="83"/>
  <c r="I52" i="83"/>
  <c r="H146" i="47"/>
  <c r="A180" i="47"/>
  <c r="A163" i="47"/>
  <c r="A146" i="47"/>
  <c r="A129" i="47"/>
  <c r="J180" i="47"/>
  <c r="J163" i="47"/>
  <c r="J146" i="47"/>
  <c r="J129" i="47"/>
  <c r="A112" i="47"/>
  <c r="J112" i="47"/>
  <c r="A95" i="47"/>
  <c r="J95" i="47"/>
  <c r="A78" i="47"/>
  <c r="J78" i="47"/>
  <c r="U180" i="47"/>
  <c r="U190" i="47" s="1"/>
  <c r="T180" i="47"/>
  <c r="T190" i="47" s="1"/>
  <c r="S180" i="47"/>
  <c r="S190" i="47" s="1"/>
  <c r="U163" i="47"/>
  <c r="U173" i="47" s="1"/>
  <c r="T163" i="47"/>
  <c r="T173" i="47" s="1"/>
  <c r="S163" i="47"/>
  <c r="S173" i="47" s="1"/>
  <c r="U146" i="47"/>
  <c r="U156" i="47" s="1"/>
  <c r="T146" i="47"/>
  <c r="T156" i="47" s="1"/>
  <c r="S146" i="47"/>
  <c r="S156" i="47" s="1"/>
  <c r="R146" i="47"/>
  <c r="R156" i="47" s="1"/>
  <c r="U129" i="47"/>
  <c r="U139" i="47" s="1"/>
  <c r="T129" i="47"/>
  <c r="T139" i="47" s="1"/>
  <c r="S129" i="47"/>
  <c r="S139" i="47" s="1"/>
  <c r="U112" i="47"/>
  <c r="U122" i="47" s="1"/>
  <c r="T112" i="47"/>
  <c r="T122" i="47" s="1"/>
  <c r="S112" i="47"/>
  <c r="S122" i="47" s="1"/>
  <c r="U95" i="47"/>
  <c r="U105" i="47" s="1"/>
  <c r="T95" i="47"/>
  <c r="T105" i="47" s="1"/>
  <c r="S95" i="47"/>
  <c r="S105" i="47" s="1"/>
  <c r="U78" i="47"/>
  <c r="U88" i="47" s="1"/>
  <c r="T78" i="47"/>
  <c r="T88" i="47" s="1"/>
  <c r="S78" i="47"/>
  <c r="S88" i="47" s="1"/>
  <c r="U61" i="47"/>
  <c r="U71" i="47" s="1"/>
  <c r="T61" i="47"/>
  <c r="T71" i="47" s="1"/>
  <c r="S61" i="47"/>
  <c r="S71" i="47" s="1"/>
  <c r="A61" i="47"/>
  <c r="J61" i="47"/>
  <c r="A44" i="47"/>
  <c r="A27" i="47"/>
  <c r="J44" i="47"/>
  <c r="U27" i="47"/>
  <c r="U37" i="47" s="1"/>
  <c r="T27" i="47"/>
  <c r="T37" i="47" s="1"/>
  <c r="S27" i="47"/>
  <c r="S37" i="47" s="1"/>
  <c r="U44" i="47"/>
  <c r="U54" i="47" s="1"/>
  <c r="T44" i="47"/>
  <c r="T54" i="47" s="1"/>
  <c r="S44" i="47"/>
  <c r="S54" i="47" s="1"/>
  <c r="J27" i="47"/>
  <c r="U194" i="83"/>
  <c r="U204" i="83" s="1"/>
  <c r="T194" i="83"/>
  <c r="T204" i="83" s="1"/>
  <c r="S194" i="83"/>
  <c r="S204" i="83" s="1"/>
  <c r="R194" i="83"/>
  <c r="R204" i="83" s="1"/>
  <c r="Q194" i="83"/>
  <c r="Q204" i="83" s="1"/>
  <c r="P194" i="83"/>
  <c r="P204" i="83" s="1"/>
  <c r="O194" i="83"/>
  <c r="O204" i="83" s="1"/>
  <c r="U176" i="83"/>
  <c r="U186" i="83" s="1"/>
  <c r="T176" i="83"/>
  <c r="T186" i="83" s="1"/>
  <c r="S176" i="83"/>
  <c r="S186" i="83" s="1"/>
  <c r="R176" i="83"/>
  <c r="R186" i="83" s="1"/>
  <c r="Q176" i="83"/>
  <c r="Q186" i="83" s="1"/>
  <c r="P176" i="83"/>
  <c r="P186" i="83" s="1"/>
  <c r="O176" i="83"/>
  <c r="O186" i="83" s="1"/>
  <c r="N176" i="83"/>
  <c r="N186" i="83" s="1"/>
  <c r="U158" i="83"/>
  <c r="U168" i="83" s="1"/>
  <c r="T158" i="83"/>
  <c r="T168" i="83" s="1"/>
  <c r="S158" i="83"/>
  <c r="S168" i="83" s="1"/>
  <c r="R158" i="83"/>
  <c r="R168" i="83" s="1"/>
  <c r="Q158" i="83"/>
  <c r="Q168" i="83" s="1"/>
  <c r="P158" i="83"/>
  <c r="P168" i="83" s="1"/>
  <c r="O158" i="83"/>
  <c r="O168" i="83" s="1"/>
  <c r="N158" i="83"/>
  <c r="N168" i="83" s="1"/>
  <c r="U140" i="83"/>
  <c r="U150" i="83" s="1"/>
  <c r="T140" i="83"/>
  <c r="T150" i="83" s="1"/>
  <c r="S140" i="83"/>
  <c r="S150" i="83" s="1"/>
  <c r="R140" i="83"/>
  <c r="R150" i="83" s="1"/>
  <c r="Q140" i="83"/>
  <c r="Q150" i="83" s="1"/>
  <c r="P140" i="83"/>
  <c r="P150" i="83" s="1"/>
  <c r="O140" i="83"/>
  <c r="O150" i="83" s="1"/>
  <c r="U122" i="83"/>
  <c r="U132" i="83" s="1"/>
  <c r="T122" i="83"/>
  <c r="T132" i="83" s="1"/>
  <c r="S122" i="83"/>
  <c r="S132" i="83" s="1"/>
  <c r="R122" i="83"/>
  <c r="R132" i="83" s="1"/>
  <c r="Q122" i="83"/>
  <c r="Q132" i="83" s="1"/>
  <c r="P122" i="83"/>
  <c r="P132" i="83" s="1"/>
  <c r="O122" i="83"/>
  <c r="O132" i="83" s="1"/>
  <c r="N122" i="83"/>
  <c r="N132" i="83" s="1"/>
  <c r="U104" i="83"/>
  <c r="U114" i="83" s="1"/>
  <c r="T104" i="83"/>
  <c r="T114" i="83" s="1"/>
  <c r="S104" i="83"/>
  <c r="S114" i="83" s="1"/>
  <c r="R104" i="83"/>
  <c r="R114" i="83" s="1"/>
  <c r="Q104" i="83"/>
  <c r="Q114" i="83" s="1"/>
  <c r="P104" i="83"/>
  <c r="P114" i="83" s="1"/>
  <c r="O104" i="83"/>
  <c r="O114" i="83" s="1"/>
  <c r="U86" i="83"/>
  <c r="U96" i="83" s="1"/>
  <c r="T86" i="83"/>
  <c r="T96" i="83" s="1"/>
  <c r="S86" i="83"/>
  <c r="S96" i="83" s="1"/>
  <c r="R86" i="83"/>
  <c r="R96" i="83" s="1"/>
  <c r="Q86" i="83"/>
  <c r="Q96" i="83" s="1"/>
  <c r="P86" i="83"/>
  <c r="P96" i="83" s="1"/>
  <c r="O86" i="83"/>
  <c r="O96" i="83" s="1"/>
  <c r="N86" i="83"/>
  <c r="N96" i="83" s="1"/>
  <c r="U69" i="83"/>
  <c r="U79" i="83" s="1"/>
  <c r="T69" i="83"/>
  <c r="T79" i="83" s="1"/>
  <c r="S69" i="83"/>
  <c r="S79" i="83" s="1"/>
  <c r="R69" i="83"/>
  <c r="R79" i="83" s="1"/>
  <c r="Q69" i="83"/>
  <c r="Q79" i="83" s="1"/>
  <c r="P69" i="83"/>
  <c r="P79" i="83" s="1"/>
  <c r="O69" i="83"/>
  <c r="O79" i="83" s="1"/>
  <c r="U52" i="83"/>
  <c r="U62" i="83" s="1"/>
  <c r="T52" i="83"/>
  <c r="T62" i="83" s="1"/>
  <c r="S52" i="83"/>
  <c r="S62" i="83" s="1"/>
  <c r="R52" i="83"/>
  <c r="R62" i="83" s="1"/>
  <c r="Q52" i="83"/>
  <c r="Q62" i="83" s="1"/>
  <c r="O52" i="83"/>
  <c r="O62" i="83" s="1"/>
  <c r="N52" i="83"/>
  <c r="N62" i="83" s="1"/>
  <c r="U35" i="83"/>
  <c r="U45" i="83" s="1"/>
  <c r="T35" i="83"/>
  <c r="T45" i="83" s="1"/>
  <c r="S35" i="83"/>
  <c r="S45" i="83" s="1"/>
  <c r="R35" i="83"/>
  <c r="R45" i="83" s="1"/>
  <c r="Q35" i="83"/>
  <c r="Q45" i="83" s="1"/>
  <c r="O35" i="83"/>
  <c r="O45" i="83" s="1"/>
  <c r="U188" i="74"/>
  <c r="U198" i="74" s="1"/>
  <c r="T188" i="74"/>
  <c r="T198" i="74" s="1"/>
  <c r="S188" i="74"/>
  <c r="S198" i="74" s="1"/>
  <c r="R188" i="74"/>
  <c r="R198" i="74" s="1"/>
  <c r="Q188" i="74"/>
  <c r="Q198" i="74" s="1"/>
  <c r="P188" i="74"/>
  <c r="P198" i="74" s="1"/>
  <c r="O188" i="74"/>
  <c r="O198" i="74" s="1"/>
  <c r="N188" i="74"/>
  <c r="N198" i="74" s="1"/>
  <c r="U171" i="74"/>
  <c r="U181" i="74" s="1"/>
  <c r="T171" i="74"/>
  <c r="T181" i="74" s="1"/>
  <c r="S171" i="74"/>
  <c r="S181" i="74" s="1"/>
  <c r="Q171" i="74"/>
  <c r="Q181" i="74" s="1"/>
  <c r="P171" i="74"/>
  <c r="P181" i="74" s="1"/>
  <c r="O171" i="74"/>
  <c r="O181" i="74" s="1"/>
  <c r="N171" i="74"/>
  <c r="N181" i="74" s="1"/>
  <c r="U154" i="74"/>
  <c r="U164" i="74" s="1"/>
  <c r="T154" i="74"/>
  <c r="T164" i="74" s="1"/>
  <c r="S154" i="74"/>
  <c r="S164" i="74" s="1"/>
  <c r="Q154" i="74"/>
  <c r="Q164" i="74" s="1"/>
  <c r="P154" i="74"/>
  <c r="P164" i="74" s="1"/>
  <c r="O154" i="74"/>
  <c r="O164" i="74" s="1"/>
  <c r="N154" i="74"/>
  <c r="N164" i="74" s="1"/>
  <c r="U137" i="74"/>
  <c r="U147" i="74" s="1"/>
  <c r="T137" i="74"/>
  <c r="T147" i="74" s="1"/>
  <c r="R137" i="74"/>
  <c r="R147" i="74" s="1"/>
  <c r="Q137" i="74"/>
  <c r="Q147" i="74" s="1"/>
  <c r="P137" i="74"/>
  <c r="P147" i="74" s="1"/>
  <c r="O137" i="74"/>
  <c r="O147" i="74" s="1"/>
  <c r="N137" i="74"/>
  <c r="N147" i="74" s="1"/>
  <c r="U120" i="74"/>
  <c r="U130" i="74" s="1"/>
  <c r="T120" i="74"/>
  <c r="T130" i="74" s="1"/>
  <c r="S120" i="74"/>
  <c r="S130" i="74" s="1"/>
  <c r="Q120" i="74"/>
  <c r="Q130" i="74" s="1"/>
  <c r="P120" i="74"/>
  <c r="P130" i="74" s="1"/>
  <c r="O120" i="74"/>
  <c r="O130" i="74" s="1"/>
  <c r="N120" i="74"/>
  <c r="N130" i="74" s="1"/>
  <c r="U103" i="74"/>
  <c r="U113" i="74" s="1"/>
  <c r="T103" i="74"/>
  <c r="T113" i="74" s="1"/>
  <c r="S103" i="74"/>
  <c r="S113" i="74" s="1"/>
  <c r="Q103" i="74"/>
  <c r="Q113" i="74" s="1"/>
  <c r="P103" i="74"/>
  <c r="P113" i="74" s="1"/>
  <c r="O103" i="74"/>
  <c r="O113" i="74" s="1"/>
  <c r="N103" i="74"/>
  <c r="N113" i="74" s="1"/>
  <c r="U86" i="74"/>
  <c r="U96" i="74" s="1"/>
  <c r="T86" i="74"/>
  <c r="T96" i="74" s="1"/>
  <c r="S86" i="74"/>
  <c r="S96" i="74" s="1"/>
  <c r="Q86" i="74"/>
  <c r="Q96" i="74" s="1"/>
  <c r="P86" i="74"/>
  <c r="P96" i="74" s="1"/>
  <c r="O86" i="74"/>
  <c r="O96" i="74" s="1"/>
  <c r="N86" i="74"/>
  <c r="N96" i="74" s="1"/>
  <c r="U69" i="74"/>
  <c r="U79" i="74" s="1"/>
  <c r="T69" i="74"/>
  <c r="T79" i="74" s="1"/>
  <c r="S69" i="74"/>
  <c r="S79" i="74" s="1"/>
  <c r="Q69" i="74"/>
  <c r="Q79" i="74" s="1"/>
  <c r="P69" i="74"/>
  <c r="P79" i="74" s="1"/>
  <c r="O69" i="74"/>
  <c r="O79" i="74" s="1"/>
  <c r="N69" i="74"/>
  <c r="N79" i="74" s="1"/>
  <c r="U52" i="74"/>
  <c r="U62" i="74" s="1"/>
  <c r="T52" i="74"/>
  <c r="T62" i="74" s="1"/>
  <c r="S52" i="74"/>
  <c r="S62" i="74" s="1"/>
  <c r="Q52" i="74"/>
  <c r="Q62" i="74" s="1"/>
  <c r="P52" i="74"/>
  <c r="P62" i="74" s="1"/>
  <c r="O52" i="74"/>
  <c r="O62" i="74" s="1"/>
  <c r="U35" i="74"/>
  <c r="U45" i="74" s="1"/>
  <c r="T35" i="74"/>
  <c r="T45" i="74" s="1"/>
  <c r="S35" i="74"/>
  <c r="S45" i="74" s="1"/>
  <c r="Q35" i="74"/>
  <c r="Q45" i="74" s="1"/>
  <c r="I188" i="74"/>
  <c r="H188" i="74"/>
  <c r="G188" i="74"/>
  <c r="F188" i="74"/>
  <c r="D81" i="80" s="1" a="1"/>
  <c r="D81" i="80" s="1"/>
  <c r="I171" i="74"/>
  <c r="G171" i="74"/>
  <c r="F171" i="74"/>
  <c r="D75" i="80" s="1" a="1"/>
  <c r="D75" i="80" s="1"/>
  <c r="I154" i="74"/>
  <c r="G154" i="74"/>
  <c r="F154" i="74"/>
  <c r="D69" i="80" s="1" a="1"/>
  <c r="D69" i="80" s="1"/>
  <c r="I137" i="74"/>
  <c r="G137" i="74"/>
  <c r="F137" i="74"/>
  <c r="D63" i="80" s="1" a="1"/>
  <c r="D63" i="80" s="1"/>
  <c r="I120" i="74"/>
  <c r="G120" i="74"/>
  <c r="F120" i="74"/>
  <c r="D57" i="80" s="1" a="1"/>
  <c r="D57" i="80" s="1"/>
  <c r="I103" i="74"/>
  <c r="G103" i="74"/>
  <c r="F103" i="74"/>
  <c r="D51" i="80" s="1" a="1"/>
  <c r="D51" i="80" s="1"/>
  <c r="I86" i="74"/>
  <c r="G86" i="74"/>
  <c r="F86" i="74"/>
  <c r="D45" i="80" s="1" a="1"/>
  <c r="D45" i="80" s="1"/>
  <c r="I69" i="74"/>
  <c r="G69" i="74"/>
  <c r="F69" i="74"/>
  <c r="D39" i="80" s="1" a="1"/>
  <c r="D39" i="80" s="1"/>
  <c r="I52" i="74"/>
  <c r="G52" i="74"/>
  <c r="F52" i="74"/>
  <c r="D33" i="80" s="1" a="1"/>
  <c r="D33" i="80" s="1"/>
  <c r="F35" i="74"/>
  <c r="D27" i="80" s="1" a="1"/>
  <c r="D27" i="80" s="1"/>
  <c r="G35" i="74"/>
  <c r="I35" i="74"/>
  <c r="A188" i="74"/>
  <c r="A171" i="74"/>
  <c r="A154" i="74"/>
  <c r="A137" i="74"/>
  <c r="A120" i="74"/>
  <c r="A103" i="74"/>
  <c r="A86" i="74"/>
  <c r="A69" i="74"/>
  <c r="A52" i="74"/>
  <c r="A35" i="74"/>
  <c r="A69" i="83"/>
  <c r="A86" i="83"/>
  <c r="A104" i="83"/>
  <c r="A122" i="83"/>
  <c r="A140" i="83"/>
  <c r="A158" i="83"/>
  <c r="A176" i="83"/>
  <c r="A194" i="83"/>
  <c r="A35" i="83"/>
  <c r="F35" i="83"/>
  <c r="A52" i="83"/>
  <c r="K198" i="74" l="1"/>
  <c r="L198" i="74"/>
  <c r="L181" i="74"/>
  <c r="K181" i="74"/>
  <c r="K164" i="74"/>
  <c r="L164" i="74"/>
  <c r="L147" i="74"/>
  <c r="K147" i="74"/>
  <c r="L113" i="74"/>
  <c r="K113" i="74"/>
  <c r="L130" i="74"/>
  <c r="K130" i="74"/>
  <c r="K96" i="74"/>
  <c r="L96" i="74"/>
  <c r="L79" i="74"/>
  <c r="K79" i="74"/>
  <c r="L62" i="74"/>
  <c r="K62" i="74"/>
  <c r="L45" i="74"/>
  <c r="K45" i="74"/>
  <c r="K204" i="83"/>
  <c r="L204" i="83"/>
  <c r="K186" i="83"/>
  <c r="L186" i="83"/>
  <c r="L168" i="83"/>
  <c r="K168" i="83"/>
  <c r="L150" i="83"/>
  <c r="K150" i="83"/>
  <c r="L132" i="83"/>
  <c r="K132" i="83"/>
  <c r="L114" i="83"/>
  <c r="K114" i="83"/>
  <c r="K96" i="83"/>
  <c r="L96" i="83"/>
  <c r="K79" i="83"/>
  <c r="L79" i="83"/>
  <c r="L62" i="83"/>
  <c r="K62" i="83"/>
  <c r="K45" i="83"/>
  <c r="L45" i="83"/>
  <c r="H171" i="74"/>
  <c r="J171" i="74" s="1"/>
  <c r="K171" i="74" s="1"/>
  <c r="L171" i="74" s="1"/>
  <c r="H154" i="74"/>
  <c r="J154" i="74" s="1"/>
  <c r="K154" i="74" s="1"/>
  <c r="L154" i="74" s="1"/>
  <c r="R154" i="74" s="1"/>
  <c r="R164" i="74" s="1"/>
  <c r="H137" i="74"/>
  <c r="J137" i="74" s="1"/>
  <c r="K137" i="74" s="1"/>
  <c r="L137" i="74" s="1"/>
  <c r="H120" i="74"/>
  <c r="J120" i="74" s="1"/>
  <c r="K120" i="74" s="1"/>
  <c r="L120" i="74" s="1"/>
  <c r="R120" i="74" s="1"/>
  <c r="R130" i="74" s="1"/>
  <c r="H103" i="74"/>
  <c r="J103" i="74" s="1"/>
  <c r="K103" i="74" s="1"/>
  <c r="L103" i="74" s="1"/>
  <c r="H86" i="74"/>
  <c r="J86" i="74" s="1"/>
  <c r="K86" i="74" s="1"/>
  <c r="L86" i="74" s="1"/>
  <c r="H69" i="74"/>
  <c r="J69" i="74" s="1"/>
  <c r="K69" i="74" s="1"/>
  <c r="L69" i="74" s="1"/>
  <c r="H52" i="74"/>
  <c r="J52" i="74" s="1"/>
  <c r="K52" i="74" s="1"/>
  <c r="L52" i="74" s="1"/>
  <c r="E27" i="80" a="1"/>
  <c r="E27" i="80" s="1"/>
  <c r="F27" i="80" s="1"/>
  <c r="G27" i="80" s="1"/>
  <c r="K27" i="80" s="1"/>
  <c r="H35" i="83"/>
  <c r="J35" i="83" s="1"/>
  <c r="K35" i="83" s="1"/>
  <c r="L35" i="83" s="1"/>
  <c r="H35" i="74"/>
  <c r="J35" i="74" s="1"/>
  <c r="K35" i="74" s="1"/>
  <c r="L35" i="74" s="1"/>
  <c r="J188" i="74"/>
  <c r="K188" i="74" s="1"/>
  <c r="L188" i="74" s="1"/>
  <c r="F176" i="83"/>
  <c r="F86" i="83"/>
  <c r="F194" i="83"/>
  <c r="F158" i="83"/>
  <c r="F69" i="83"/>
  <c r="F52" i="83"/>
  <c r="F104" i="83"/>
  <c r="F140" i="83"/>
  <c r="F122" i="83"/>
  <c r="R171" i="74" l="1"/>
  <c r="R181" i="74" s="1"/>
  <c r="S137" i="74"/>
  <c r="S147" i="74" s="1"/>
  <c r="R103" i="74"/>
  <c r="R113" i="74" s="1"/>
  <c r="R86" i="74"/>
  <c r="R96" i="74" s="1"/>
  <c r="R69" i="74"/>
  <c r="R79" i="74" s="1"/>
  <c r="R35" i="74"/>
  <c r="R45" i="74" s="1"/>
  <c r="N52" i="74"/>
  <c r="N62" i="74" s="1"/>
  <c r="R52" i="74"/>
  <c r="R62" i="74" s="1"/>
  <c r="P35" i="74"/>
  <c r="P45" i="74" s="1"/>
  <c r="N35" i="83"/>
  <c r="N45" i="83" s="1"/>
  <c r="P35" i="83"/>
  <c r="P45" i="83" s="1"/>
  <c r="H158" i="83"/>
  <c r="J158" i="83" s="1"/>
  <c r="K158" i="83" s="1"/>
  <c r="L158" i="83" s="1"/>
  <c r="E69" i="80" a="1"/>
  <c r="E69" i="80" s="1"/>
  <c r="F69" i="80" s="1"/>
  <c r="G69" i="80" s="1"/>
  <c r="H122" i="83"/>
  <c r="J122" i="83" s="1"/>
  <c r="K122" i="83" s="1"/>
  <c r="L122" i="83" s="1"/>
  <c r="E57" i="80" a="1"/>
  <c r="E57" i="80" s="1"/>
  <c r="F57" i="80" s="1"/>
  <c r="G57" i="80" s="1"/>
  <c r="H140" i="83"/>
  <c r="J140" i="83" s="1"/>
  <c r="K140" i="83" s="1"/>
  <c r="L140" i="83" s="1"/>
  <c r="N140" i="83" s="1"/>
  <c r="N150" i="83" s="1"/>
  <c r="E63" i="80" a="1"/>
  <c r="E63" i="80" s="1"/>
  <c r="F63" i="80" s="1"/>
  <c r="G63" i="80" s="1"/>
  <c r="H86" i="83"/>
  <c r="J86" i="83" s="1"/>
  <c r="K86" i="83" s="1"/>
  <c r="L86" i="83" s="1"/>
  <c r="E45" i="80" a="1"/>
  <c r="E45" i="80" s="1"/>
  <c r="F45" i="80" s="1"/>
  <c r="G45" i="80" s="1"/>
  <c r="H176" i="83"/>
  <c r="J176" i="83" s="1"/>
  <c r="K176" i="83" s="1"/>
  <c r="L176" i="83" s="1"/>
  <c r="E75" i="80" a="1"/>
  <c r="E75" i="80" s="1"/>
  <c r="F75" i="80" s="1"/>
  <c r="G75" i="80" s="1"/>
  <c r="H104" i="83"/>
  <c r="J104" i="83" s="1"/>
  <c r="K104" i="83" s="1"/>
  <c r="L104" i="83" s="1"/>
  <c r="E51" i="80" a="1"/>
  <c r="E51" i="80" s="1"/>
  <c r="F51" i="80" s="1"/>
  <c r="G51" i="80" s="1"/>
  <c r="H52" i="83"/>
  <c r="J52" i="83" s="1"/>
  <c r="K52" i="83" s="1"/>
  <c r="L52" i="83" s="1"/>
  <c r="E33" i="80" a="1"/>
  <c r="E33" i="80" s="1"/>
  <c r="F33" i="80" s="1"/>
  <c r="G33" i="80" s="1"/>
  <c r="H69" i="83"/>
  <c r="J69" i="83" s="1"/>
  <c r="K69" i="83" s="1"/>
  <c r="E39" i="80" a="1"/>
  <c r="E39" i="80" s="1"/>
  <c r="F39" i="80" s="1"/>
  <c r="G39" i="80" s="1"/>
  <c r="H194" i="83"/>
  <c r="J194" i="83" s="1"/>
  <c r="K194" i="83" s="1"/>
  <c r="L194" i="83" s="1"/>
  <c r="N194" i="83" s="1"/>
  <c r="N204" i="83" s="1"/>
  <c r="E81" i="80" a="1"/>
  <c r="E81" i="80" s="1"/>
  <c r="F81" i="80" s="1"/>
  <c r="G81" i="80" s="1"/>
  <c r="I27" i="80"/>
  <c r="O35" i="74"/>
  <c r="O45" i="74" s="1"/>
  <c r="N35" i="74"/>
  <c r="N45" i="74" s="1"/>
  <c r="C219" i="83"/>
  <c r="G231" i="83" s="1"/>
  <c r="C215" i="83"/>
  <c r="K227" i="83" s="1"/>
  <c r="C216" i="83"/>
  <c r="C218" i="83"/>
  <c r="K230" i="83" s="1"/>
  <c r="C217" i="83"/>
  <c r="G229" i="83" s="1"/>
  <c r="N104" i="83" l="1"/>
  <c r="N114" i="83" s="1"/>
  <c r="L69" i="83"/>
  <c r="P52" i="83"/>
  <c r="P62" i="83" s="1"/>
  <c r="I57" i="80"/>
  <c r="K57" i="80"/>
  <c r="K45" i="80"/>
  <c r="I45" i="80"/>
  <c r="I63" i="80"/>
  <c r="K63" i="80"/>
  <c r="K51" i="80"/>
  <c r="I51" i="80"/>
  <c r="K33" i="80"/>
  <c r="I33" i="80"/>
  <c r="K69" i="80"/>
  <c r="I69" i="80"/>
  <c r="I39" i="80"/>
  <c r="K39" i="80"/>
  <c r="I75" i="80"/>
  <c r="K75" i="80"/>
  <c r="K81" i="80"/>
  <c r="I81" i="80"/>
  <c r="I231" i="83"/>
  <c r="E231" i="83"/>
  <c r="H231" i="83"/>
  <c r="H227" i="83"/>
  <c r="H229" i="83"/>
  <c r="G227" i="83"/>
  <c r="I227" i="83"/>
  <c r="J227" i="83"/>
  <c r="D227" i="83"/>
  <c r="E227" i="83"/>
  <c r="C227" i="83"/>
  <c r="F227" i="83"/>
  <c r="D230" i="83"/>
  <c r="J231" i="83"/>
  <c r="F230" i="83"/>
  <c r="C231" i="83"/>
  <c r="E230" i="83"/>
  <c r="G230" i="83"/>
  <c r="K231" i="83"/>
  <c r="H230" i="83"/>
  <c r="D231" i="83"/>
  <c r="C230" i="83"/>
  <c r="J230" i="83"/>
  <c r="F231" i="83"/>
  <c r="I230" i="83"/>
  <c r="I229" i="83"/>
  <c r="C229" i="83"/>
  <c r="K229" i="83"/>
  <c r="E229" i="83"/>
  <c r="D229" i="83"/>
  <c r="J229" i="83"/>
  <c r="F229" i="83"/>
  <c r="C214" i="83" l="1"/>
  <c r="N69" i="83"/>
  <c r="N79" i="83" s="1"/>
  <c r="C212" i="83" s="1"/>
  <c r="F224" i="83" s="1"/>
  <c r="B86" i="80"/>
  <c r="C94" i="80" s="1"/>
  <c r="C100" i="80" s="1"/>
  <c r="C24" i="58" s="1"/>
  <c r="C213" i="83"/>
  <c r="F226" i="83" l="1"/>
  <c r="H226" i="83"/>
  <c r="K226" i="83"/>
  <c r="D226" i="83"/>
  <c r="I226" i="83"/>
  <c r="E226" i="83"/>
  <c r="C226" i="83"/>
  <c r="J226" i="83"/>
  <c r="G226" i="83"/>
  <c r="J94" i="80"/>
  <c r="J100" i="80" s="1"/>
  <c r="J24" i="58" s="1"/>
  <c r="I94" i="80"/>
  <c r="I100" i="80" s="1"/>
  <c r="I24" i="58" s="1"/>
  <c r="K94" i="80"/>
  <c r="K100" i="80" s="1"/>
  <c r="K24" i="58" s="1"/>
  <c r="H94" i="80"/>
  <c r="H100" i="80" s="1"/>
  <c r="H24" i="58" s="1"/>
  <c r="B94" i="80"/>
  <c r="B100" i="80" s="1"/>
  <c r="E94" i="80"/>
  <c r="E100" i="80" s="1"/>
  <c r="E24" i="58" s="1"/>
  <c r="G94" i="80"/>
  <c r="G100" i="80" s="1"/>
  <c r="G24" i="58" s="1"/>
  <c r="F94" i="80"/>
  <c r="F100" i="80" s="1"/>
  <c r="F24" i="58" s="1"/>
  <c r="M94" i="80"/>
  <c r="M100" i="80" s="1"/>
  <c r="M24" i="58" s="1"/>
  <c r="D94" i="80"/>
  <c r="D100" i="80" s="1"/>
  <c r="D24" i="58" s="1"/>
  <c r="L94" i="80"/>
  <c r="L100" i="80" s="1"/>
  <c r="L24" i="58" s="1"/>
  <c r="J225" i="83"/>
  <c r="D225" i="83"/>
  <c r="H225" i="83"/>
  <c r="F225" i="83"/>
  <c r="K225" i="83"/>
  <c r="G225" i="83"/>
  <c r="E225" i="83"/>
  <c r="I225" i="83"/>
  <c r="C225" i="83"/>
  <c r="C228" i="83"/>
  <c r="K228" i="83"/>
  <c r="D228" i="83"/>
  <c r="G228" i="83"/>
  <c r="E228" i="83"/>
  <c r="F228" i="83"/>
  <c r="J228" i="83"/>
  <c r="H228" i="83"/>
  <c r="I228" i="83"/>
  <c r="H224" i="83"/>
  <c r="J224" i="83"/>
  <c r="C224" i="83"/>
  <c r="I224" i="83"/>
  <c r="K224" i="83"/>
  <c r="D224" i="83"/>
  <c r="E224" i="83"/>
  <c r="G224" i="83"/>
  <c r="F234" i="83" l="1"/>
  <c r="E14" i="58" s="1"/>
  <c r="H234" i="83"/>
  <c r="G14" i="58" s="1"/>
  <c r="D234" i="83"/>
  <c r="C14" i="58" s="1"/>
  <c r="K234" i="83"/>
  <c r="J14" i="58" s="1"/>
  <c r="C234" i="83"/>
  <c r="B14" i="58" s="1"/>
  <c r="I234" i="83"/>
  <c r="H14" i="58" s="1"/>
  <c r="J234" i="83"/>
  <c r="I14" i="58" s="1"/>
  <c r="G234" i="83"/>
  <c r="F14" i="58" s="1"/>
  <c r="E234" i="83"/>
  <c r="D14" i="58" s="1"/>
  <c r="O234" i="83" l="1"/>
  <c r="N14" i="58"/>
  <c r="A36" i="64" l="1"/>
  <c r="B24" i="58"/>
  <c r="N24" i="58" s="1"/>
  <c r="N100" i="80" l="1"/>
  <c r="B10" i="81"/>
  <c r="C10" i="81"/>
  <c r="D10" i="81"/>
  <c r="E10" i="81"/>
  <c r="F10" i="81"/>
  <c r="G10" i="81"/>
  <c r="H10" i="81"/>
  <c r="I10" i="81"/>
  <c r="J10" i="81"/>
  <c r="K10" i="81"/>
  <c r="B38" i="81"/>
  <c r="B39" i="81"/>
  <c r="F68" i="81" s="1"/>
  <c r="B42" i="81"/>
  <c r="B43" i="81"/>
  <c r="B45" i="81"/>
  <c r="B40" i="81"/>
  <c r="D69" i="81" s="1"/>
  <c r="B41" i="81"/>
  <c r="B44" i="81"/>
  <c r="D73" i="81" s="1"/>
  <c r="J53" i="81"/>
  <c r="J60" i="81" s="1"/>
  <c r="B60" i="81"/>
  <c r="C60" i="81"/>
  <c r="D60" i="81"/>
  <c r="E60" i="81"/>
  <c r="F60" i="81"/>
  <c r="G60" i="81"/>
  <c r="H60" i="81"/>
  <c r="I60" i="81"/>
  <c r="K60" i="81"/>
  <c r="L60" i="81"/>
  <c r="M60" i="81"/>
  <c r="B70" i="81"/>
  <c r="C70" i="81"/>
  <c r="D70" i="81"/>
  <c r="E70" i="81"/>
  <c r="F70" i="81"/>
  <c r="G70" i="81"/>
  <c r="H70" i="81"/>
  <c r="I70" i="81"/>
  <c r="J70" i="81"/>
  <c r="K70" i="81"/>
  <c r="L70" i="81"/>
  <c r="M70" i="81"/>
  <c r="B73" i="81"/>
  <c r="C73" i="81"/>
  <c r="E73" i="81"/>
  <c r="F73" i="81"/>
  <c r="H73" i="81"/>
  <c r="K73" i="81"/>
  <c r="L73" i="81"/>
  <c r="M73" i="81"/>
  <c r="J73" i="81" l="1"/>
  <c r="I73" i="81"/>
  <c r="G73" i="81"/>
  <c r="K69" i="81"/>
  <c r="B71" i="81"/>
  <c r="M71" i="81"/>
  <c r="C71" i="81"/>
  <c r="E71" i="81"/>
  <c r="H71" i="81"/>
  <c r="F71" i="81"/>
  <c r="K71" i="81"/>
  <c r="F72" i="81"/>
  <c r="C72" i="81"/>
  <c r="D72" i="81"/>
  <c r="E72" i="81"/>
  <c r="G72" i="81"/>
  <c r="K72" i="81"/>
  <c r="L72" i="81"/>
  <c r="M72" i="81"/>
  <c r="H72" i="81"/>
  <c r="I72" i="81"/>
  <c r="B72" i="81"/>
  <c r="J72" i="81"/>
  <c r="J69" i="81"/>
  <c r="H69" i="81"/>
  <c r="F69" i="81"/>
  <c r="E69" i="81"/>
  <c r="I69" i="81"/>
  <c r="M69" i="81"/>
  <c r="C69" i="81"/>
  <c r="L69" i="81"/>
  <c r="B69" i="81"/>
  <c r="L68" i="81"/>
  <c r="I68" i="81"/>
  <c r="G68" i="81"/>
  <c r="D68" i="81"/>
  <c r="B68" i="81"/>
  <c r="H67" i="81"/>
  <c r="M67" i="81"/>
  <c r="I67" i="81"/>
  <c r="B67" i="81"/>
  <c r="B77" i="81" s="1"/>
  <c r="B13" i="58" s="1"/>
  <c r="J67" i="81"/>
  <c r="C67" i="81"/>
  <c r="K67" i="81"/>
  <c r="D67" i="81"/>
  <c r="L67" i="81"/>
  <c r="F67" i="81"/>
  <c r="G67" i="81"/>
  <c r="E67" i="81"/>
  <c r="E77" i="81" s="1"/>
  <c r="E13" i="58" s="1"/>
  <c r="F74" i="81"/>
  <c r="B74" i="81"/>
  <c r="L74" i="81"/>
  <c r="D74" i="81"/>
  <c r="G74" i="81"/>
  <c r="I74" i="81"/>
  <c r="J74" i="81"/>
  <c r="J68" i="81"/>
  <c r="M74" i="81"/>
  <c r="E74" i="81"/>
  <c r="I71" i="81"/>
  <c r="M68" i="81"/>
  <c r="E68" i="81"/>
  <c r="K74" i="81"/>
  <c r="C74" i="81"/>
  <c r="G71" i="81"/>
  <c r="G69" i="81"/>
  <c r="K68" i="81"/>
  <c r="C68" i="81"/>
  <c r="H74" i="81"/>
  <c r="L71" i="81"/>
  <c r="D71" i="81"/>
  <c r="H68" i="81"/>
  <c r="B46" i="81"/>
  <c r="J71" i="81"/>
  <c r="L28" i="64"/>
  <c r="M28" i="64" s="1"/>
  <c r="C36" i="64" s="1"/>
  <c r="A29" i="64"/>
  <c r="A28" i="64"/>
  <c r="A45" i="64" s="1"/>
  <c r="A20" i="64"/>
  <c r="J171" i="62"/>
  <c r="J155" i="62"/>
  <c r="J139" i="62"/>
  <c r="J123" i="62"/>
  <c r="J107" i="62"/>
  <c r="J91" i="62"/>
  <c r="J59" i="62"/>
  <c r="J43" i="62"/>
  <c r="A21" i="62"/>
  <c r="A20" i="62"/>
  <c r="A19" i="62"/>
  <c r="A18" i="62"/>
  <c r="K10" i="42"/>
  <c r="O10" i="42" s="1"/>
  <c r="K9" i="42"/>
  <c r="B4" i="77"/>
  <c r="B5" i="77"/>
  <c r="G16" i="77"/>
  <c r="B13" i="77"/>
  <c r="C13" i="77"/>
  <c r="D13" i="77"/>
  <c r="E13" i="77"/>
  <c r="F13" i="77"/>
  <c r="B14" i="77"/>
  <c r="C14" i="77"/>
  <c r="D14" i="77"/>
  <c r="E14" i="77"/>
  <c r="F14" i="77"/>
  <c r="B15" i="77"/>
  <c r="C15" i="77"/>
  <c r="D15" i="77"/>
  <c r="E15" i="77"/>
  <c r="F15" i="77"/>
  <c r="B16" i="77"/>
  <c r="C16" i="77"/>
  <c r="D16" i="77"/>
  <c r="E16" i="77"/>
  <c r="F16" i="77"/>
  <c r="G13" i="77"/>
  <c r="G14" i="77"/>
  <c r="G15" i="77"/>
  <c r="C12" i="77"/>
  <c r="D12" i="77"/>
  <c r="E12" i="77"/>
  <c r="F12" i="77"/>
  <c r="G12" i="77"/>
  <c r="B12" i="77"/>
  <c r="J75" i="77"/>
  <c r="I75" i="77"/>
  <c r="H75" i="77"/>
  <c r="G75" i="77"/>
  <c r="F75" i="77"/>
  <c r="E75" i="77"/>
  <c r="D75" i="77"/>
  <c r="C75" i="77"/>
  <c r="B75" i="77"/>
  <c r="G47" i="77"/>
  <c r="F47" i="77"/>
  <c r="E47" i="77"/>
  <c r="D47" i="77"/>
  <c r="C47" i="77"/>
  <c r="B47" i="77"/>
  <c r="G46" i="77"/>
  <c r="F46" i="77"/>
  <c r="E46" i="77"/>
  <c r="D46" i="77"/>
  <c r="C46" i="77"/>
  <c r="B46" i="77"/>
  <c r="G45" i="77"/>
  <c r="F45" i="77"/>
  <c r="E45" i="77"/>
  <c r="D45" i="77"/>
  <c r="C45" i="77"/>
  <c r="B45" i="77"/>
  <c r="G44" i="77"/>
  <c r="F44" i="77"/>
  <c r="E44" i="77"/>
  <c r="D44" i="77"/>
  <c r="C44" i="77"/>
  <c r="B44" i="77"/>
  <c r="G38" i="77"/>
  <c r="F38" i="77"/>
  <c r="E38" i="77"/>
  <c r="D38" i="77"/>
  <c r="C38" i="77"/>
  <c r="B38" i="77"/>
  <c r="G28" i="77"/>
  <c r="F28" i="77"/>
  <c r="E28" i="77"/>
  <c r="D28" i="77"/>
  <c r="C28" i="77"/>
  <c r="B28" i="77"/>
  <c r="J77" i="81" l="1"/>
  <c r="J13" i="58" s="1"/>
  <c r="G77" i="81"/>
  <c r="G13" i="58" s="1"/>
  <c r="I77" i="81"/>
  <c r="I13" i="58" s="1"/>
  <c r="F77" i="81"/>
  <c r="F13" i="58" s="1"/>
  <c r="M77" i="81"/>
  <c r="M13" i="58" s="1"/>
  <c r="L77" i="81"/>
  <c r="L13" i="58" s="1"/>
  <c r="H77" i="81"/>
  <c r="H13" i="58" s="1"/>
  <c r="D77" i="81"/>
  <c r="D13" i="58" s="1"/>
  <c r="K77" i="81"/>
  <c r="K13" i="58" s="1"/>
  <c r="C77" i="81"/>
  <c r="C13" i="58" s="1"/>
  <c r="M10" i="42"/>
  <c r="T10" i="42"/>
  <c r="R10" i="42"/>
  <c r="Q10" i="42"/>
  <c r="N10" i="42"/>
  <c r="B7" i="77"/>
  <c r="D55" i="77" s="1"/>
  <c r="G93" i="77" s="1"/>
  <c r="S10" i="42"/>
  <c r="P10" i="42"/>
  <c r="E48" i="77"/>
  <c r="B48" i="77"/>
  <c r="C48" i="77"/>
  <c r="D48" i="77"/>
  <c r="F48" i="77"/>
  <c r="G48" i="77"/>
  <c r="N13" i="58" l="1"/>
  <c r="D56" i="77"/>
  <c r="K100" i="77" s="1"/>
  <c r="G56" i="77"/>
  <c r="F54" i="77"/>
  <c r="F86" i="77" s="1"/>
  <c r="F55" i="77"/>
  <c r="E55" i="77"/>
  <c r="H94" i="77" s="1"/>
  <c r="D54" i="77"/>
  <c r="J84" i="77" s="1"/>
  <c r="D57" i="77"/>
  <c r="M107" i="77" s="1"/>
  <c r="C54" i="77"/>
  <c r="I83" i="77" s="1"/>
  <c r="F57" i="77"/>
  <c r="B56" i="77"/>
  <c r="L98" i="77" s="1"/>
  <c r="B55" i="77"/>
  <c r="L93" i="77" s="1"/>
  <c r="F58" i="77"/>
  <c r="B58" i="77"/>
  <c r="M112" i="77" s="1"/>
  <c r="B54" i="77"/>
  <c r="M87" i="77" s="1"/>
  <c r="E58" i="77"/>
  <c r="M115" i="77" s="1"/>
  <c r="C56" i="77"/>
  <c r="M99" i="77" s="1"/>
  <c r="D58" i="77"/>
  <c r="L114" i="77" s="1"/>
  <c r="B57" i="77"/>
  <c r="I105" i="77" s="1"/>
  <c r="G55" i="77"/>
  <c r="E54" i="77"/>
  <c r="E57" i="77"/>
  <c r="L108" i="77" s="1"/>
  <c r="G54" i="77"/>
  <c r="I87" i="77" s="1"/>
  <c r="G58" i="77"/>
  <c r="J117" i="77" s="1"/>
  <c r="C58" i="77"/>
  <c r="J113" i="77" s="1"/>
  <c r="E56" i="77"/>
  <c r="E101" i="77" s="1"/>
  <c r="C55" i="77"/>
  <c r="H92" i="77" s="1"/>
  <c r="G57" i="77"/>
  <c r="C57" i="77"/>
  <c r="M106" i="77" s="1"/>
  <c r="F56" i="77"/>
  <c r="L112" i="77"/>
  <c r="L106" i="77"/>
  <c r="K98" i="77"/>
  <c r="M98" i="77"/>
  <c r="L100" i="77"/>
  <c r="M100" i="77"/>
  <c r="L92" i="77"/>
  <c r="K94" i="77"/>
  <c r="M94" i="77"/>
  <c r="K116" i="77"/>
  <c r="L116" i="77"/>
  <c r="M116" i="77"/>
  <c r="M83" i="77"/>
  <c r="L86" i="77"/>
  <c r="N77" i="81"/>
  <c r="B101" i="77"/>
  <c r="C101" i="77"/>
  <c r="G101" i="77"/>
  <c r="F93" i="77"/>
  <c r="H93" i="77"/>
  <c r="I93" i="77"/>
  <c r="J93" i="77"/>
  <c r="F106" i="77"/>
  <c r="G106" i="77"/>
  <c r="I106" i="77"/>
  <c r="B93" i="77"/>
  <c r="C93" i="77"/>
  <c r="E93" i="77"/>
  <c r="D93" i="77"/>
  <c r="H98" i="77"/>
  <c r="G98" i="77"/>
  <c r="F98" i="77"/>
  <c r="E98" i="77"/>
  <c r="D98" i="77"/>
  <c r="C98" i="77"/>
  <c r="B98" i="77"/>
  <c r="I98" i="77"/>
  <c r="J98" i="77"/>
  <c r="I85" i="77"/>
  <c r="H85" i="77"/>
  <c r="G85" i="77"/>
  <c r="F85" i="77"/>
  <c r="E85" i="77"/>
  <c r="D85" i="77"/>
  <c r="J85" i="77"/>
  <c r="C85" i="77"/>
  <c r="B85" i="77"/>
  <c r="F100" i="77"/>
  <c r="E100" i="77"/>
  <c r="D100" i="77"/>
  <c r="C100" i="77"/>
  <c r="J100" i="77"/>
  <c r="B100" i="77"/>
  <c r="I100" i="77"/>
  <c r="H100" i="77"/>
  <c r="G100" i="77"/>
  <c r="E91" i="77"/>
  <c r="C91" i="77"/>
  <c r="B91" i="77"/>
  <c r="G91" i="77"/>
  <c r="F91" i="77"/>
  <c r="G108" i="77"/>
  <c r="F108" i="77"/>
  <c r="E108" i="77"/>
  <c r="J116" i="77"/>
  <c r="B116" i="77"/>
  <c r="I116" i="77"/>
  <c r="H116" i="77"/>
  <c r="G116" i="77"/>
  <c r="F116" i="77"/>
  <c r="E116" i="77"/>
  <c r="D116" i="77"/>
  <c r="C116" i="77"/>
  <c r="I113" i="77"/>
  <c r="F112" i="77"/>
  <c r="I112" i="77"/>
  <c r="H112" i="77"/>
  <c r="G112" i="77"/>
  <c r="D114" i="77"/>
  <c r="C114" i="77"/>
  <c r="J114" i="77"/>
  <c r="B114" i="77"/>
  <c r="I114" i="77"/>
  <c r="H114" i="77"/>
  <c r="G114" i="77"/>
  <c r="F114" i="77"/>
  <c r="E114" i="77"/>
  <c r="J94" i="77"/>
  <c r="B94" i="77"/>
  <c r="I94" i="77"/>
  <c r="C94" i="77"/>
  <c r="H86" i="77"/>
  <c r="G86" i="77"/>
  <c r="E86" i="77"/>
  <c r="C86" i="77"/>
  <c r="J86" i="77"/>
  <c r="B86" i="77"/>
  <c r="B83" i="77"/>
  <c r="I86" i="77" l="1"/>
  <c r="H91" i="77"/>
  <c r="J101" i="77"/>
  <c r="M93" i="77"/>
  <c r="I91" i="77"/>
  <c r="I95" i="77" s="1"/>
  <c r="I125" i="77" s="1"/>
  <c r="I101" i="77"/>
  <c r="M91" i="77"/>
  <c r="M95" i="77" s="1"/>
  <c r="M125" i="77" s="1"/>
  <c r="D86" i="77"/>
  <c r="J91" i="77"/>
  <c r="H101" i="77"/>
  <c r="K91" i="77"/>
  <c r="D91" i="77"/>
  <c r="D101" i="77"/>
  <c r="F101" i="77"/>
  <c r="L94" i="77"/>
  <c r="K108" i="77"/>
  <c r="M85" i="77"/>
  <c r="J87" i="77"/>
  <c r="G107" i="77"/>
  <c r="K83" i="77"/>
  <c r="C84" i="77"/>
  <c r="K85" i="77"/>
  <c r="M108" i="77"/>
  <c r="F82" i="77"/>
  <c r="F88" i="77" s="1"/>
  <c r="F124" i="77" s="1"/>
  <c r="B87" i="77"/>
  <c r="E84" i="77"/>
  <c r="D94" i="77"/>
  <c r="D87" i="77"/>
  <c r="G84" i="77"/>
  <c r="B112" i="77"/>
  <c r="B118" i="77" s="1"/>
  <c r="B128" i="77" s="1"/>
  <c r="B108" i="77"/>
  <c r="H108" i="77"/>
  <c r="C82" i="77"/>
  <c r="C88" i="77" s="1"/>
  <c r="C124" i="77" s="1"/>
  <c r="D82" i="77"/>
  <c r="D88" i="77" s="1"/>
  <c r="D124" i="77" s="1"/>
  <c r="K87" i="77"/>
  <c r="L85" i="77"/>
  <c r="K115" i="77"/>
  <c r="E94" i="77"/>
  <c r="C117" i="77"/>
  <c r="E87" i="77"/>
  <c r="H84" i="77"/>
  <c r="J112" i="77"/>
  <c r="I108" i="77"/>
  <c r="B115" i="77"/>
  <c r="J82" i="77"/>
  <c r="B82" i="77"/>
  <c r="B88" i="77" s="1"/>
  <c r="B124" i="77" s="1"/>
  <c r="M86" i="77"/>
  <c r="M84" i="77"/>
  <c r="F94" i="77"/>
  <c r="F95" i="77" s="1"/>
  <c r="F125" i="77" s="1"/>
  <c r="D117" i="77"/>
  <c r="F87" i="77"/>
  <c r="I84" i="77"/>
  <c r="C112" i="77"/>
  <c r="J108" i="77"/>
  <c r="I82" i="77"/>
  <c r="I88" i="77" s="1"/>
  <c r="I124" i="77" s="1"/>
  <c r="H82" i="77"/>
  <c r="H88" i="77" s="1"/>
  <c r="H124" i="77" s="1"/>
  <c r="M82" i="77"/>
  <c r="M88" i="77" s="1"/>
  <c r="M124" i="77" s="1"/>
  <c r="L84" i="77"/>
  <c r="C87" i="77"/>
  <c r="L87" i="77"/>
  <c r="G94" i="77"/>
  <c r="H87" i="77"/>
  <c r="G87" i="77"/>
  <c r="B84" i="77"/>
  <c r="D112" i="77"/>
  <c r="D118" i="77" s="1"/>
  <c r="D128" i="77" s="1"/>
  <c r="C108" i="77"/>
  <c r="G82" i="77"/>
  <c r="L83" i="77"/>
  <c r="K86" i="77"/>
  <c r="K106" i="77"/>
  <c r="H107" i="77"/>
  <c r="F84" i="77"/>
  <c r="K82" i="77"/>
  <c r="K88" i="77" s="1"/>
  <c r="K124" i="77" s="1"/>
  <c r="D84" i="77"/>
  <c r="E112" i="77"/>
  <c r="E118" i="77" s="1"/>
  <c r="E128" i="77" s="1"/>
  <c r="D108" i="77"/>
  <c r="E82" i="77"/>
  <c r="K84" i="77"/>
  <c r="L82" i="77"/>
  <c r="M117" i="77"/>
  <c r="M118" i="77" s="1"/>
  <c r="M128" i="77" s="1"/>
  <c r="K93" i="77"/>
  <c r="K95" i="77" s="1"/>
  <c r="K125" i="77" s="1"/>
  <c r="L91" i="77"/>
  <c r="L95" i="77" s="1"/>
  <c r="L125" i="77" s="1"/>
  <c r="M92" i="77"/>
  <c r="K92" i="77"/>
  <c r="D83" i="77"/>
  <c r="C83" i="77"/>
  <c r="E117" i="77"/>
  <c r="I99" i="77"/>
  <c r="D113" i="77"/>
  <c r="J107" i="77"/>
  <c r="I107" i="77"/>
  <c r="I115" i="77"/>
  <c r="M113" i="77"/>
  <c r="K117" i="77"/>
  <c r="E115" i="77"/>
  <c r="E83" i="77"/>
  <c r="F117" i="77"/>
  <c r="B99" i="77"/>
  <c r="B102" i="77" s="1"/>
  <c r="B126" i="77" s="1"/>
  <c r="E113" i="77"/>
  <c r="B107" i="77"/>
  <c r="H115" i="77"/>
  <c r="L99" i="77"/>
  <c r="L102" i="77" s="1"/>
  <c r="L126" i="77" s="1"/>
  <c r="J83" i="77"/>
  <c r="F83" i="77"/>
  <c r="G117" i="77"/>
  <c r="D99" i="77"/>
  <c r="D102" i="77" s="1"/>
  <c r="D126" i="77" s="1"/>
  <c r="C107" i="77"/>
  <c r="H99" i="77"/>
  <c r="G83" i="77"/>
  <c r="H117" i="77"/>
  <c r="G99" i="77"/>
  <c r="D107" i="77"/>
  <c r="C115" i="77"/>
  <c r="G115" i="77"/>
  <c r="G118" i="77" s="1"/>
  <c r="G128" i="77" s="1"/>
  <c r="L107" i="77"/>
  <c r="K112" i="77"/>
  <c r="C113" i="77"/>
  <c r="C118" i="77" s="1"/>
  <c r="C128" i="77" s="1"/>
  <c r="L115" i="77"/>
  <c r="H83" i="77"/>
  <c r="B117" i="77"/>
  <c r="I117" i="77"/>
  <c r="I118" i="77" s="1"/>
  <c r="I128" i="77" s="1"/>
  <c r="E107" i="77"/>
  <c r="D115" i="77"/>
  <c r="F115" i="77"/>
  <c r="K107" i="77"/>
  <c r="L117" i="77"/>
  <c r="F113" i="77"/>
  <c r="F107" i="77"/>
  <c r="J115" i="77"/>
  <c r="J118" i="77" s="1"/>
  <c r="J128" i="77" s="1"/>
  <c r="E92" i="77"/>
  <c r="H105" i="77"/>
  <c r="J99" i="77"/>
  <c r="G113" i="77"/>
  <c r="C105" i="77"/>
  <c r="L113" i="77"/>
  <c r="C99" i="77"/>
  <c r="C102" i="77" s="1"/>
  <c r="C126" i="77" s="1"/>
  <c r="H113" i="77"/>
  <c r="H118" i="77" s="1"/>
  <c r="H128" i="77" s="1"/>
  <c r="G105" i="77"/>
  <c r="K113" i="77"/>
  <c r="M114" i="77"/>
  <c r="M105" i="77"/>
  <c r="M109" i="77" s="1"/>
  <c r="M127" i="77" s="1"/>
  <c r="K101" i="77"/>
  <c r="F92" i="77"/>
  <c r="K114" i="77"/>
  <c r="L105" i="77"/>
  <c r="L109" i="77" s="1"/>
  <c r="L127" i="77" s="1"/>
  <c r="M101" i="77"/>
  <c r="M102" i="77" s="1"/>
  <c r="M126" i="77" s="1"/>
  <c r="F105" i="77"/>
  <c r="I92" i="77"/>
  <c r="E99" i="77"/>
  <c r="E102" i="77" s="1"/>
  <c r="E126" i="77" s="1"/>
  <c r="B113" i="77"/>
  <c r="J105" i="77"/>
  <c r="B105" i="77"/>
  <c r="E105" i="77"/>
  <c r="E109" i="77" s="1"/>
  <c r="E127" i="77" s="1"/>
  <c r="K105" i="77"/>
  <c r="K99" i="77"/>
  <c r="K102" i="77" s="1"/>
  <c r="K126" i="77" s="1"/>
  <c r="L101" i="77"/>
  <c r="F99" i="77"/>
  <c r="D105" i="77"/>
  <c r="D106" i="77"/>
  <c r="B106" i="77"/>
  <c r="C106" i="77"/>
  <c r="J106" i="77"/>
  <c r="H106" i="77"/>
  <c r="E106" i="77"/>
  <c r="B92" i="77"/>
  <c r="D92" i="77"/>
  <c r="C92" i="77"/>
  <c r="C95" i="77" s="1"/>
  <c r="C125" i="77" s="1"/>
  <c r="J92" i="77"/>
  <c r="J95" i="77" s="1"/>
  <c r="J125" i="77" s="1"/>
  <c r="G92" i="77"/>
  <c r="G95" i="77" s="1"/>
  <c r="G125" i="77" s="1"/>
  <c r="L118" i="77"/>
  <c r="L128" i="77" s="1"/>
  <c r="I109" i="77"/>
  <c r="I127" i="77" s="1"/>
  <c r="J88" i="77"/>
  <c r="J124" i="77" s="1"/>
  <c r="G109" i="77"/>
  <c r="G127" i="77" s="1"/>
  <c r="E88" i="77"/>
  <c r="E124" i="77" s="1"/>
  <c r="G88" i="77"/>
  <c r="G124" i="77" s="1"/>
  <c r="H95" i="77"/>
  <c r="H125" i="77" s="1"/>
  <c r="B95" i="77"/>
  <c r="B125" i="77" s="1"/>
  <c r="F109" i="77"/>
  <c r="F127" i="77" s="1"/>
  <c r="G102" i="77"/>
  <c r="G126" i="77" s="1"/>
  <c r="F102" i="77"/>
  <c r="F126" i="77" s="1"/>
  <c r="J102" i="77"/>
  <c r="J126" i="77" s="1"/>
  <c r="H102" i="77"/>
  <c r="H126" i="77" s="1"/>
  <c r="I102" i="77"/>
  <c r="I126" i="77" s="1"/>
  <c r="D95" i="77"/>
  <c r="D125" i="77" s="1"/>
  <c r="E95" i="77"/>
  <c r="E125" i="77" s="1"/>
  <c r="F118" i="77"/>
  <c r="F128" i="77" s="1"/>
  <c r="L88" i="77" l="1"/>
  <c r="L124" i="77" s="1"/>
  <c r="C109" i="77"/>
  <c r="C127" i="77" s="1"/>
  <c r="M132" i="77"/>
  <c r="M12" i="58" s="1"/>
  <c r="L132" i="77"/>
  <c r="L12" i="58" s="1"/>
  <c r="K118" i="77"/>
  <c r="K128" i="77" s="1"/>
  <c r="H109" i="77"/>
  <c r="H127" i="77" s="1"/>
  <c r="K109" i="77"/>
  <c r="K127" i="77" s="1"/>
  <c r="K132" i="77" s="1"/>
  <c r="K12" i="58" s="1"/>
  <c r="B109" i="77"/>
  <c r="B127" i="77" s="1"/>
  <c r="B132" i="77" s="1"/>
  <c r="B12" i="58" s="1"/>
  <c r="J109" i="77"/>
  <c r="J127" i="77" s="1"/>
  <c r="J132" i="77" s="1"/>
  <c r="J12" i="58" s="1"/>
  <c r="D109" i="77"/>
  <c r="D127" i="77" s="1"/>
  <c r="I132" i="77"/>
  <c r="I12" i="58" s="1"/>
  <c r="H132" i="77"/>
  <c r="H12" i="58" s="1"/>
  <c r="D132" i="77"/>
  <c r="D12" i="58" s="1"/>
  <c r="G132" i="77"/>
  <c r="G12" i="58" s="1"/>
  <c r="F132" i="77"/>
  <c r="F12" i="58" s="1"/>
  <c r="C132" i="77"/>
  <c r="C12" i="58" s="1"/>
  <c r="E132" i="77"/>
  <c r="E12" i="58" s="1"/>
  <c r="N12" i="58" l="1"/>
  <c r="N132" i="77"/>
  <c r="B225" i="74" l="1"/>
  <c r="B224" i="74"/>
  <c r="B223" i="74"/>
  <c r="B222" i="74"/>
  <c r="B221" i="74"/>
  <c r="B220" i="74"/>
  <c r="B219" i="74"/>
  <c r="B218" i="74"/>
  <c r="B213" i="74"/>
  <c r="B212" i="74"/>
  <c r="B211" i="74"/>
  <c r="B210" i="74"/>
  <c r="B209" i="74"/>
  <c r="B208" i="74"/>
  <c r="B207" i="74"/>
  <c r="B206" i="74"/>
  <c r="A30" i="74"/>
  <c r="A29" i="74"/>
  <c r="A28" i="74"/>
  <c r="A27" i="74"/>
  <c r="A26" i="74"/>
  <c r="A25" i="74"/>
  <c r="A24" i="74"/>
  <c r="A23" i="74"/>
  <c r="C212" i="74" l="1"/>
  <c r="H224" i="74" s="1"/>
  <c r="C213" i="74"/>
  <c r="K225" i="74" s="1"/>
  <c r="C211" i="74" l="1"/>
  <c r="C209" i="74"/>
  <c r="F221" i="74" s="1"/>
  <c r="G225" i="74"/>
  <c r="F225" i="74"/>
  <c r="I224" i="74"/>
  <c r="C224" i="74"/>
  <c r="D224" i="74"/>
  <c r="L224" i="74"/>
  <c r="M224" i="74"/>
  <c r="N225" i="74"/>
  <c r="G224" i="74"/>
  <c r="F224" i="74"/>
  <c r="E224" i="74"/>
  <c r="J224" i="74"/>
  <c r="N224" i="74"/>
  <c r="K224" i="74"/>
  <c r="H225" i="74"/>
  <c r="D225" i="74"/>
  <c r="I225" i="74"/>
  <c r="L225" i="74"/>
  <c r="J225" i="74"/>
  <c r="E225" i="74"/>
  <c r="C225" i="74"/>
  <c r="M225" i="74"/>
  <c r="C210" i="74" l="1"/>
  <c r="J222" i="74" s="1"/>
  <c r="J221" i="74"/>
  <c r="M221" i="74"/>
  <c r="K221" i="74"/>
  <c r="C221" i="74"/>
  <c r="G221" i="74"/>
  <c r="H221" i="74"/>
  <c r="L221" i="74"/>
  <c r="I221" i="74"/>
  <c r="N221" i="74"/>
  <c r="D221" i="74"/>
  <c r="E221" i="74"/>
  <c r="K223" i="74"/>
  <c r="E223" i="74"/>
  <c r="I223" i="74"/>
  <c r="N223" i="74"/>
  <c r="F223" i="74"/>
  <c r="H223" i="74"/>
  <c r="L223" i="74"/>
  <c r="D223" i="74"/>
  <c r="M223" i="74"/>
  <c r="J223" i="74"/>
  <c r="C223" i="74"/>
  <c r="G223" i="74"/>
  <c r="C206" i="74"/>
  <c r="C218" i="74" s="1"/>
  <c r="C208" i="74"/>
  <c r="I220" i="74" s="1"/>
  <c r="C207" i="74"/>
  <c r="G219" i="74" s="1"/>
  <c r="N222" i="74" l="1"/>
  <c r="K222" i="74"/>
  <c r="L222" i="74"/>
  <c r="M222" i="74"/>
  <c r="I222" i="74"/>
  <c r="C222" i="74"/>
  <c r="D222" i="74"/>
  <c r="H222" i="74"/>
  <c r="F222" i="74"/>
  <c r="E222" i="74"/>
  <c r="G222" i="74"/>
  <c r="G220" i="74"/>
  <c r="K218" i="74"/>
  <c r="L218" i="74"/>
  <c r="L228" i="74" s="1"/>
  <c r="K15" i="58" s="1"/>
  <c r="E218" i="74"/>
  <c r="M218" i="74"/>
  <c r="D218" i="74"/>
  <c r="N218" i="74"/>
  <c r="E219" i="74"/>
  <c r="I218" i="74"/>
  <c r="G218" i="74"/>
  <c r="G228" i="74" s="1"/>
  <c r="F15" i="58" s="1"/>
  <c r="C219" i="74"/>
  <c r="C228" i="74" s="1"/>
  <c r="B15" i="58" s="1"/>
  <c r="J218" i="74"/>
  <c r="J228" i="74" s="1"/>
  <c r="I15" i="58" s="1"/>
  <c r="H218" i="74"/>
  <c r="F218" i="74"/>
  <c r="C220" i="74"/>
  <c r="H220" i="74"/>
  <c r="J220" i="74"/>
  <c r="K220" i="74"/>
  <c r="M220" i="74"/>
  <c r="E220" i="74"/>
  <c r="F220" i="74"/>
  <c r="D220" i="74"/>
  <c r="N220" i="74"/>
  <c r="L220" i="74"/>
  <c r="I219" i="74"/>
  <c r="F219" i="74"/>
  <c r="K219" i="74"/>
  <c r="D219" i="74"/>
  <c r="H219" i="74"/>
  <c r="N219" i="74"/>
  <c r="L219" i="74"/>
  <c r="J219" i="74"/>
  <c r="M219" i="74"/>
  <c r="E228" i="74" l="1"/>
  <c r="D15" i="58" s="1"/>
  <c r="K228" i="74"/>
  <c r="J15" i="58" s="1"/>
  <c r="I228" i="74"/>
  <c r="H15" i="58" s="1"/>
  <c r="N228" i="74"/>
  <c r="M15" i="58" s="1"/>
  <c r="F228" i="74"/>
  <c r="E15" i="58" s="1"/>
  <c r="D228" i="74"/>
  <c r="C15" i="58" s="1"/>
  <c r="H228" i="74"/>
  <c r="G15" i="58" s="1"/>
  <c r="M228" i="74"/>
  <c r="L15" i="58" s="1"/>
  <c r="B7" i="71"/>
  <c r="C32" i="71" s="1"/>
  <c r="G73" i="71" s="1"/>
  <c r="I25" i="71"/>
  <c r="G25" i="71"/>
  <c r="H25" i="71"/>
  <c r="C25" i="71"/>
  <c r="D25" i="71"/>
  <c r="E25" i="71"/>
  <c r="F25" i="71"/>
  <c r="B25" i="71"/>
  <c r="M50" i="71"/>
  <c r="L50" i="71"/>
  <c r="K50" i="71"/>
  <c r="J50" i="71"/>
  <c r="I50" i="71"/>
  <c r="H50" i="71"/>
  <c r="G50" i="71"/>
  <c r="F50" i="71"/>
  <c r="E50" i="71"/>
  <c r="D50" i="71"/>
  <c r="C50" i="71"/>
  <c r="B50" i="71"/>
  <c r="N15" i="58" l="1"/>
  <c r="O228" i="74"/>
  <c r="B73" i="71"/>
  <c r="F73" i="71"/>
  <c r="L73" i="71"/>
  <c r="D73" i="71"/>
  <c r="M73" i="71"/>
  <c r="E73" i="71"/>
  <c r="K73" i="71"/>
  <c r="C73" i="71"/>
  <c r="J73" i="71"/>
  <c r="I73" i="71"/>
  <c r="H73" i="71"/>
  <c r="D34" i="71"/>
  <c r="G30" i="71"/>
  <c r="C31" i="71"/>
  <c r="D31" i="71"/>
  <c r="D33" i="71"/>
  <c r="G31" i="71"/>
  <c r="B34" i="71"/>
  <c r="D32" i="71"/>
  <c r="C30" i="71"/>
  <c r="G32" i="71"/>
  <c r="C34" i="71"/>
  <c r="D30" i="71"/>
  <c r="C33" i="71"/>
  <c r="G34" i="71"/>
  <c r="E91" i="71" s="1"/>
  <c r="G33" i="71"/>
  <c r="E30" i="71"/>
  <c r="E31" i="71"/>
  <c r="E32" i="71"/>
  <c r="E33" i="71"/>
  <c r="E34" i="71"/>
  <c r="F30" i="71"/>
  <c r="F31" i="71"/>
  <c r="F32" i="71"/>
  <c r="F33" i="71"/>
  <c r="F34" i="71"/>
  <c r="H30" i="71"/>
  <c r="H31" i="71"/>
  <c r="H32" i="71"/>
  <c r="H33" i="71"/>
  <c r="H34" i="71"/>
  <c r="I30" i="71"/>
  <c r="I31" i="71"/>
  <c r="I32" i="71"/>
  <c r="I33" i="71"/>
  <c r="I34" i="71"/>
  <c r="B30" i="71"/>
  <c r="B31" i="71"/>
  <c r="B32" i="71"/>
  <c r="B33" i="71"/>
  <c r="G82" i="71" l="1"/>
  <c r="H82" i="71"/>
  <c r="F82" i="71"/>
  <c r="I82" i="71"/>
  <c r="J82" i="71"/>
  <c r="B82" i="71"/>
  <c r="C82" i="71"/>
  <c r="K82" i="71"/>
  <c r="D82" i="71"/>
  <c r="L82" i="71"/>
  <c r="E82" i="71"/>
  <c r="M82" i="71"/>
  <c r="C75" i="71"/>
  <c r="K75" i="71"/>
  <c r="D75" i="71"/>
  <c r="L75" i="71"/>
  <c r="E75" i="71"/>
  <c r="M75" i="71"/>
  <c r="J75" i="71"/>
  <c r="F75" i="71"/>
  <c r="B75" i="71"/>
  <c r="G75" i="71"/>
  <c r="H75" i="71"/>
  <c r="I75" i="71"/>
  <c r="G68" i="71"/>
  <c r="H68" i="71"/>
  <c r="B68" i="71"/>
  <c r="I68" i="71"/>
  <c r="J68" i="71"/>
  <c r="F68" i="71"/>
  <c r="C68" i="71"/>
  <c r="K68" i="71"/>
  <c r="D68" i="71"/>
  <c r="L68" i="71"/>
  <c r="E68" i="71"/>
  <c r="M68" i="71"/>
  <c r="C81" i="71"/>
  <c r="K81" i="71"/>
  <c r="D81" i="71"/>
  <c r="L81" i="71"/>
  <c r="E81" i="71"/>
  <c r="M81" i="71"/>
  <c r="F81" i="71"/>
  <c r="B81" i="71"/>
  <c r="G81" i="71"/>
  <c r="J81" i="71"/>
  <c r="H81" i="71"/>
  <c r="I81" i="71"/>
  <c r="G90" i="71"/>
  <c r="H90" i="71"/>
  <c r="F90" i="71"/>
  <c r="I90" i="71"/>
  <c r="J90" i="71"/>
  <c r="C90" i="71"/>
  <c r="K90" i="71"/>
  <c r="D90" i="71"/>
  <c r="L90" i="71"/>
  <c r="B90" i="71"/>
  <c r="E90" i="71"/>
  <c r="M90" i="71"/>
  <c r="C89" i="71"/>
  <c r="K89" i="71"/>
  <c r="D89" i="71"/>
  <c r="L89" i="71"/>
  <c r="E89" i="71"/>
  <c r="M89" i="71"/>
  <c r="F89" i="71"/>
  <c r="B89" i="71"/>
  <c r="J89" i="71"/>
  <c r="G89" i="71"/>
  <c r="H89" i="71"/>
  <c r="I89" i="71"/>
  <c r="C79" i="71"/>
  <c r="K79" i="71"/>
  <c r="D79" i="71"/>
  <c r="L79" i="71"/>
  <c r="E79" i="71"/>
  <c r="M79" i="71"/>
  <c r="F79" i="71"/>
  <c r="B79" i="71"/>
  <c r="G79" i="71"/>
  <c r="J79" i="71"/>
  <c r="H79" i="71"/>
  <c r="I79" i="71"/>
  <c r="G86" i="71"/>
  <c r="H86" i="71"/>
  <c r="I86" i="71"/>
  <c r="J86" i="71"/>
  <c r="C86" i="71"/>
  <c r="K86" i="71"/>
  <c r="F86" i="71"/>
  <c r="D86" i="71"/>
  <c r="L86" i="71"/>
  <c r="B86" i="71"/>
  <c r="E86" i="71"/>
  <c r="M86" i="71"/>
  <c r="J87" i="71"/>
  <c r="C87" i="71"/>
  <c r="K87" i="71"/>
  <c r="D87" i="71"/>
  <c r="L87" i="71"/>
  <c r="E87" i="71"/>
  <c r="M87" i="71"/>
  <c r="F87" i="71"/>
  <c r="I87" i="71"/>
  <c r="G87" i="71"/>
  <c r="H87" i="71"/>
  <c r="C91" i="71"/>
  <c r="K91" i="71"/>
  <c r="D91" i="71"/>
  <c r="L91" i="71"/>
  <c r="M91" i="71"/>
  <c r="F91" i="71"/>
  <c r="B91" i="71"/>
  <c r="G91" i="71"/>
  <c r="H91" i="71"/>
  <c r="I91" i="71"/>
  <c r="J91" i="71"/>
  <c r="G80" i="71"/>
  <c r="H80" i="71"/>
  <c r="B80" i="71"/>
  <c r="I80" i="71"/>
  <c r="J80" i="71"/>
  <c r="C80" i="71"/>
  <c r="K80" i="71"/>
  <c r="D80" i="71"/>
  <c r="L80" i="71"/>
  <c r="E80" i="71"/>
  <c r="M80" i="71"/>
  <c r="F80" i="71"/>
  <c r="G88" i="71"/>
  <c r="B87" i="71"/>
  <c r="B88" i="71"/>
  <c r="H88" i="71"/>
  <c r="I88" i="71"/>
  <c r="F88" i="71"/>
  <c r="J88" i="71"/>
  <c r="C88" i="71"/>
  <c r="K88" i="71"/>
  <c r="D88" i="71"/>
  <c r="L88" i="71"/>
  <c r="E88" i="71"/>
  <c r="M88" i="71"/>
  <c r="C74" i="71"/>
  <c r="K74" i="71"/>
  <c r="D74" i="71"/>
  <c r="L74" i="71"/>
  <c r="E74" i="71"/>
  <c r="M74" i="71"/>
  <c r="F74" i="71"/>
  <c r="B74" i="71"/>
  <c r="G74" i="71"/>
  <c r="H74" i="71"/>
  <c r="I74" i="71"/>
  <c r="J74" i="71"/>
  <c r="C72" i="71"/>
  <c r="K72" i="71"/>
  <c r="D72" i="71"/>
  <c r="L72" i="71"/>
  <c r="E72" i="71"/>
  <c r="E76" i="71" s="1"/>
  <c r="M72" i="71"/>
  <c r="F72" i="71"/>
  <c r="B72" i="71"/>
  <c r="H72" i="71"/>
  <c r="G72" i="71"/>
  <c r="I72" i="71"/>
  <c r="J72" i="71"/>
  <c r="C65" i="71"/>
  <c r="K65" i="71"/>
  <c r="I65" i="71"/>
  <c r="D65" i="71"/>
  <c r="L65" i="71"/>
  <c r="J65" i="71"/>
  <c r="E65" i="71"/>
  <c r="M65" i="71"/>
  <c r="F65" i="71"/>
  <c r="B65" i="71"/>
  <c r="G65" i="71"/>
  <c r="H65" i="71"/>
  <c r="C56" i="71"/>
  <c r="B56" i="71"/>
  <c r="C67" i="71"/>
  <c r="K67" i="71"/>
  <c r="D67" i="71"/>
  <c r="L67" i="71"/>
  <c r="E67" i="71"/>
  <c r="M67" i="71"/>
  <c r="F67" i="71"/>
  <c r="B67" i="71"/>
  <c r="G67" i="71"/>
  <c r="I67" i="71"/>
  <c r="J67" i="71"/>
  <c r="H67" i="71"/>
  <c r="G66" i="71"/>
  <c r="F66" i="71"/>
  <c r="H66" i="71"/>
  <c r="I66" i="71"/>
  <c r="M66" i="71"/>
  <c r="J66" i="71"/>
  <c r="E66" i="71"/>
  <c r="C66" i="71"/>
  <c r="K66" i="71"/>
  <c r="D66" i="71"/>
  <c r="L66" i="71"/>
  <c r="B66" i="71"/>
  <c r="C61" i="71"/>
  <c r="K61" i="71"/>
  <c r="G61" i="71"/>
  <c r="D61" i="71"/>
  <c r="L61" i="71"/>
  <c r="E61" i="71"/>
  <c r="M61" i="71"/>
  <c r="F61" i="71"/>
  <c r="B61" i="71"/>
  <c r="I61" i="71"/>
  <c r="J61" i="71"/>
  <c r="H61" i="71"/>
  <c r="F58" i="71"/>
  <c r="G58" i="71"/>
  <c r="J58" i="71"/>
  <c r="C58" i="71"/>
  <c r="H58" i="71"/>
  <c r="L58" i="71"/>
  <c r="I58" i="71"/>
  <c r="D58" i="71"/>
  <c r="M58" i="71"/>
  <c r="E58" i="71"/>
  <c r="B58" i="71"/>
  <c r="K58" i="71"/>
  <c r="C59" i="71"/>
  <c r="K59" i="71"/>
  <c r="D59" i="71"/>
  <c r="L59" i="71"/>
  <c r="E59" i="71"/>
  <c r="M59" i="71"/>
  <c r="F59" i="71"/>
  <c r="B59" i="71"/>
  <c r="I59" i="71"/>
  <c r="G59" i="71"/>
  <c r="H59" i="71"/>
  <c r="J59" i="71"/>
  <c r="C57" i="71"/>
  <c r="K57" i="71"/>
  <c r="D57" i="71"/>
  <c r="L57" i="71"/>
  <c r="E57" i="71"/>
  <c r="M57" i="71"/>
  <c r="F57" i="71"/>
  <c r="B57" i="71"/>
  <c r="H57" i="71"/>
  <c r="I57" i="71"/>
  <c r="G57" i="71"/>
  <c r="J57" i="71"/>
  <c r="G60" i="71"/>
  <c r="L60" i="71"/>
  <c r="H60" i="71"/>
  <c r="I60" i="71"/>
  <c r="C60" i="71"/>
  <c r="J60" i="71"/>
  <c r="K60" i="71"/>
  <c r="D60" i="71"/>
  <c r="E60" i="71"/>
  <c r="M60" i="71"/>
  <c r="F60" i="71"/>
  <c r="B60" i="71"/>
  <c r="F56" i="71"/>
  <c r="I56" i="71"/>
  <c r="G56" i="71"/>
  <c r="J56" i="71"/>
  <c r="H56" i="71"/>
  <c r="K56" i="71"/>
  <c r="E56" i="71"/>
  <c r="L56" i="71"/>
  <c r="M56" i="71"/>
  <c r="D56" i="71"/>
  <c r="M83" i="71" l="1"/>
  <c r="F69" i="71"/>
  <c r="B83" i="71"/>
  <c r="J76" i="71"/>
  <c r="J100" i="71" s="1"/>
  <c r="F83" i="71"/>
  <c r="K76" i="71"/>
  <c r="K100" i="71" s="1"/>
  <c r="C69" i="71"/>
  <c r="C99" i="71" s="1"/>
  <c r="D76" i="71"/>
  <c r="D100" i="71" s="1"/>
  <c r="H76" i="71"/>
  <c r="H100" i="71" s="1"/>
  <c r="M69" i="71"/>
  <c r="M99" i="71" s="1"/>
  <c r="L76" i="71"/>
  <c r="L100" i="71" s="1"/>
  <c r="E69" i="71"/>
  <c r="E99" i="71" s="1"/>
  <c r="I76" i="71"/>
  <c r="I100" i="71" s="1"/>
  <c r="J69" i="71"/>
  <c r="J99" i="71" s="1"/>
  <c r="G76" i="71"/>
  <c r="G100" i="71" s="1"/>
  <c r="E83" i="71"/>
  <c r="E101" i="71" s="1"/>
  <c r="L69" i="71"/>
  <c r="L99" i="71" s="1"/>
  <c r="C76" i="71"/>
  <c r="C100" i="71" s="1"/>
  <c r="I83" i="71"/>
  <c r="I101" i="71" s="1"/>
  <c r="L83" i="71"/>
  <c r="L101" i="71" s="1"/>
  <c r="H69" i="71"/>
  <c r="H99" i="71" s="1"/>
  <c r="D69" i="71"/>
  <c r="D99" i="71" s="1"/>
  <c r="B76" i="71"/>
  <c r="B100" i="71" s="1"/>
  <c r="H83" i="71"/>
  <c r="H101" i="71" s="1"/>
  <c r="D83" i="71"/>
  <c r="D101" i="71" s="1"/>
  <c r="G69" i="71"/>
  <c r="G99" i="71" s="1"/>
  <c r="I69" i="71"/>
  <c r="I99" i="71" s="1"/>
  <c r="F76" i="71"/>
  <c r="F100" i="71" s="1"/>
  <c r="J83" i="71"/>
  <c r="J101" i="71" s="1"/>
  <c r="K83" i="71"/>
  <c r="K101" i="71" s="1"/>
  <c r="B69" i="71"/>
  <c r="B99" i="71" s="1"/>
  <c r="K69" i="71"/>
  <c r="K99" i="71" s="1"/>
  <c r="M76" i="71"/>
  <c r="M100" i="71" s="1"/>
  <c r="G83" i="71"/>
  <c r="G101" i="71" s="1"/>
  <c r="C83" i="71"/>
  <c r="C101" i="71" s="1"/>
  <c r="K92" i="71"/>
  <c r="K102" i="71" s="1"/>
  <c r="D92" i="71"/>
  <c r="D102" i="71" s="1"/>
  <c r="F92" i="71"/>
  <c r="F102" i="71" s="1"/>
  <c r="C92" i="71"/>
  <c r="C102" i="71" s="1"/>
  <c r="M62" i="71"/>
  <c r="M98" i="71" s="1"/>
  <c r="M106" i="71" s="1"/>
  <c r="M11" i="58" s="1"/>
  <c r="M92" i="71"/>
  <c r="M102" i="71" s="1"/>
  <c r="J92" i="71"/>
  <c r="J102" i="71" s="1"/>
  <c r="B101" i="71"/>
  <c r="E92" i="71"/>
  <c r="E102" i="71" s="1"/>
  <c r="I92" i="71"/>
  <c r="I102" i="71" s="1"/>
  <c r="F101" i="71"/>
  <c r="B92" i="71"/>
  <c r="B102" i="71" s="1"/>
  <c r="H92" i="71"/>
  <c r="H102" i="71" s="1"/>
  <c r="M101" i="71"/>
  <c r="L92" i="71"/>
  <c r="L102" i="71" s="1"/>
  <c r="G92" i="71"/>
  <c r="G102" i="71" s="1"/>
  <c r="B62" i="71"/>
  <c r="B98" i="71" s="1"/>
  <c r="J62" i="71"/>
  <c r="J98" i="71" s="1"/>
  <c r="J106" i="71" s="1"/>
  <c r="E100" i="71"/>
  <c r="I62" i="71"/>
  <c r="I98" i="71" s="1"/>
  <c r="I106" i="71" s="1"/>
  <c r="F99" i="71"/>
  <c r="G62" i="71"/>
  <c r="G98" i="71" s="1"/>
  <c r="H62" i="71"/>
  <c r="H98" i="71" s="1"/>
  <c r="D62" i="71"/>
  <c r="D98" i="71" s="1"/>
  <c r="F62" i="71"/>
  <c r="F98" i="71" s="1"/>
  <c r="L62" i="71"/>
  <c r="L98" i="71" s="1"/>
  <c r="E62" i="71"/>
  <c r="E98" i="71" s="1"/>
  <c r="K62" i="71"/>
  <c r="K98" i="71" s="1"/>
  <c r="K106" i="71" s="1"/>
  <c r="K11" i="58" s="1"/>
  <c r="C62" i="71"/>
  <c r="C98" i="71" s="1"/>
  <c r="E106" i="71" l="1"/>
  <c r="E11" i="58" s="1"/>
  <c r="L106" i="71"/>
  <c r="L11" i="58" s="1"/>
  <c r="F106" i="71"/>
  <c r="B106" i="71"/>
  <c r="B11" i="58" s="1"/>
  <c r="D106" i="71"/>
  <c r="D11" i="58" s="1"/>
  <c r="H106" i="71"/>
  <c r="H11" i="58" s="1"/>
  <c r="G106" i="71"/>
  <c r="G11" i="58" s="1"/>
  <c r="C106" i="71"/>
  <c r="C11" i="58" s="1"/>
  <c r="J11" i="58"/>
  <c r="I11" i="58"/>
  <c r="F11" i="58"/>
  <c r="N11" i="58" l="1"/>
  <c r="N106" i="71"/>
  <c r="M171" i="62"/>
  <c r="L171" i="62"/>
  <c r="H171" i="62"/>
  <c r="I171" i="62" s="1"/>
  <c r="K171" i="62" s="1"/>
  <c r="M155" i="62"/>
  <c r="L155" i="62"/>
  <c r="H155" i="62"/>
  <c r="I155" i="62" s="1"/>
  <c r="K155" i="62" s="1"/>
  <c r="M139" i="62"/>
  <c r="L139" i="62"/>
  <c r="H139" i="62"/>
  <c r="I139" i="62" s="1"/>
  <c r="K139" i="62" s="1"/>
  <c r="M123" i="62"/>
  <c r="L123" i="62"/>
  <c r="H123" i="62"/>
  <c r="I123" i="62" s="1"/>
  <c r="K123" i="62" s="1"/>
  <c r="M107" i="62"/>
  <c r="L107" i="62"/>
  <c r="H107" i="62"/>
  <c r="I107" i="62" s="1"/>
  <c r="K107" i="62" s="1"/>
  <c r="M91" i="62"/>
  <c r="L91" i="62"/>
  <c r="H91" i="62"/>
  <c r="I91" i="62" s="1"/>
  <c r="K91" i="62" s="1"/>
  <c r="M59" i="62"/>
  <c r="L59" i="62"/>
  <c r="H59" i="62"/>
  <c r="I59" i="62" s="1"/>
  <c r="K59" i="62" s="1"/>
  <c r="M43" i="62"/>
  <c r="L43" i="62"/>
  <c r="H43" i="62"/>
  <c r="I43" i="62" s="1"/>
  <c r="K43" i="62" s="1"/>
  <c r="M27" i="62"/>
  <c r="L27" i="62"/>
  <c r="H27" i="62"/>
  <c r="I27" i="62" s="1"/>
  <c r="K27" i="62" s="1"/>
  <c r="A22" i="64"/>
  <c r="A21" i="64"/>
  <c r="L30" i="64"/>
  <c r="C38" i="64" s="1"/>
  <c r="L29" i="64"/>
  <c r="C37" i="64" s="1"/>
  <c r="I46" i="64" s="1"/>
  <c r="D45" i="64"/>
  <c r="D50" i="64" s="1"/>
  <c r="A38" i="64"/>
  <c r="A37" i="64"/>
  <c r="A30" i="64"/>
  <c r="A47" i="64" s="1"/>
  <c r="A46" i="64"/>
  <c r="N171" i="62" l="1"/>
  <c r="N91" i="62"/>
  <c r="O91" i="62" s="1"/>
  <c r="O101" i="62" s="1"/>
  <c r="N139" i="62"/>
  <c r="O139" i="62" s="1"/>
  <c r="O149" i="62" s="1"/>
  <c r="N43" i="62"/>
  <c r="N59" i="62"/>
  <c r="N27" i="62"/>
  <c r="O27" i="62" s="1"/>
  <c r="O37" i="62" s="1"/>
  <c r="N155" i="62"/>
  <c r="O155" i="62" s="1"/>
  <c r="O165" i="62" s="1"/>
  <c r="N107" i="62"/>
  <c r="O107" i="62" s="1"/>
  <c r="O117" i="62" s="1"/>
  <c r="N123" i="62"/>
  <c r="O123" i="62" s="1"/>
  <c r="O133" i="62" s="1"/>
  <c r="C39" i="64"/>
  <c r="F47" i="64"/>
  <c r="N47" i="64"/>
  <c r="K47" i="64"/>
  <c r="G47" i="64"/>
  <c r="C47" i="64"/>
  <c r="H47" i="64"/>
  <c r="I47" i="64"/>
  <c r="J47" i="64"/>
  <c r="D47" i="64"/>
  <c r="L47" i="64"/>
  <c r="E47" i="64"/>
  <c r="M47" i="64"/>
  <c r="H46" i="64"/>
  <c r="K45" i="64"/>
  <c r="K50" i="64" s="1"/>
  <c r="G46" i="64"/>
  <c r="J45" i="64"/>
  <c r="J50" i="64" s="1"/>
  <c r="I45" i="64"/>
  <c r="I50" i="64" s="1"/>
  <c r="M46" i="64"/>
  <c r="E46" i="64"/>
  <c r="H45" i="64"/>
  <c r="H50" i="64" s="1"/>
  <c r="N46" i="64"/>
  <c r="C45" i="64"/>
  <c r="C50" i="64" s="1"/>
  <c r="L46" i="64"/>
  <c r="D46" i="64"/>
  <c r="G45" i="64"/>
  <c r="G50" i="64" s="1"/>
  <c r="C46" i="64"/>
  <c r="K46" i="64"/>
  <c r="N45" i="64"/>
  <c r="N50" i="64" s="1"/>
  <c r="M19" i="58" s="1"/>
  <c r="F45" i="64"/>
  <c r="F50" i="64" s="1"/>
  <c r="F46" i="64"/>
  <c r="J46" i="64"/>
  <c r="M45" i="64"/>
  <c r="M50" i="64" s="1"/>
  <c r="L19" i="58" s="1"/>
  <c r="E45" i="64"/>
  <c r="E50" i="64" s="1"/>
  <c r="L45" i="64"/>
  <c r="L50" i="64" s="1"/>
  <c r="K19" i="58" s="1"/>
  <c r="P139" i="62" l="1"/>
  <c r="P149" i="62" s="1"/>
  <c r="P91" i="62"/>
  <c r="P101" i="62" s="1"/>
  <c r="P27" i="62"/>
  <c r="P37" i="62" s="1"/>
  <c r="O43" i="62"/>
  <c r="O53" i="62" s="1"/>
  <c r="O171" i="62"/>
  <c r="O181" i="62" s="1"/>
  <c r="O59" i="62"/>
  <c r="O69" i="62" s="1"/>
  <c r="C191" i="62"/>
  <c r="C192" i="62"/>
  <c r="P155" i="62"/>
  <c r="P165" i="62" s="1"/>
  <c r="C190" i="62"/>
  <c r="P107" i="62"/>
  <c r="P117" i="62" s="1"/>
  <c r="P123" i="62"/>
  <c r="P133" i="62" s="1"/>
  <c r="R139" i="62" l="1"/>
  <c r="R149" i="62" s="1"/>
  <c r="R155" i="62"/>
  <c r="R165" i="62" s="1"/>
  <c r="R123" i="62"/>
  <c r="R133" i="62" s="1"/>
  <c r="P59" i="62"/>
  <c r="P69" i="62" s="1"/>
  <c r="R27" i="62"/>
  <c r="R37" i="62" s="1"/>
  <c r="R107" i="62"/>
  <c r="R117" i="62" s="1"/>
  <c r="F201" i="62"/>
  <c r="N201" i="62"/>
  <c r="G201" i="62"/>
  <c r="H201" i="62"/>
  <c r="E201" i="62"/>
  <c r="I201" i="62"/>
  <c r="D201" i="62"/>
  <c r="L201" i="62"/>
  <c r="J201" i="62"/>
  <c r="M201" i="62"/>
  <c r="K201" i="62"/>
  <c r="C201" i="62"/>
  <c r="I200" i="62"/>
  <c r="J200" i="62"/>
  <c r="K200" i="62"/>
  <c r="D200" i="62"/>
  <c r="L200" i="62"/>
  <c r="H200" i="62"/>
  <c r="E200" i="62"/>
  <c r="M200" i="62"/>
  <c r="C200" i="62"/>
  <c r="F200" i="62"/>
  <c r="N200" i="62"/>
  <c r="G200" i="62"/>
  <c r="K202" i="62"/>
  <c r="D202" i="62"/>
  <c r="L202" i="62"/>
  <c r="J202" i="62"/>
  <c r="E202" i="62"/>
  <c r="M202" i="62"/>
  <c r="F202" i="62"/>
  <c r="N202" i="62"/>
  <c r="I202" i="62"/>
  <c r="G202" i="62"/>
  <c r="C202" i="62"/>
  <c r="H202" i="62"/>
  <c r="P171" i="62"/>
  <c r="P181" i="62" s="1"/>
  <c r="P43" i="62"/>
  <c r="P53" i="62" s="1"/>
  <c r="R59" i="62" l="1"/>
  <c r="R69" i="62" s="1"/>
  <c r="R171" i="62"/>
  <c r="R181" i="62" s="1"/>
  <c r="R43" i="62"/>
  <c r="R53" i="62" s="1"/>
  <c r="I19" i="58"/>
  <c r="E19" i="58"/>
  <c r="B19" i="58"/>
  <c r="G19" i="58"/>
  <c r="C19" i="58"/>
  <c r="D19" i="58"/>
  <c r="F19" i="58"/>
  <c r="J19" i="58"/>
  <c r="H19" i="58"/>
  <c r="C189" i="62" l="1"/>
  <c r="G199" i="62" s="1"/>
  <c r="G206" i="62" s="1"/>
  <c r="F18" i="58" s="1"/>
  <c r="N19" i="58"/>
  <c r="O50" i="64"/>
  <c r="K199" i="62" l="1"/>
  <c r="K206" i="62" s="1"/>
  <c r="J18" i="58" s="1"/>
  <c r="J199" i="62"/>
  <c r="J206" i="62" s="1"/>
  <c r="I18" i="58" s="1"/>
  <c r="N199" i="62"/>
  <c r="N206" i="62" s="1"/>
  <c r="M18" i="58" s="1"/>
  <c r="F199" i="62"/>
  <c r="F206" i="62" s="1"/>
  <c r="E18" i="58" s="1"/>
  <c r="M199" i="62"/>
  <c r="M206" i="62" s="1"/>
  <c r="L18" i="58" s="1"/>
  <c r="E199" i="62"/>
  <c r="E206" i="62" s="1"/>
  <c r="D18" i="58" s="1"/>
  <c r="C199" i="62"/>
  <c r="C206" i="62" s="1"/>
  <c r="B18" i="58" s="1"/>
  <c r="L199" i="62"/>
  <c r="L206" i="62" s="1"/>
  <c r="K18" i="58" s="1"/>
  <c r="I199" i="62"/>
  <c r="I206" i="62" s="1"/>
  <c r="H18" i="58" s="1"/>
  <c r="H199" i="62"/>
  <c r="H206" i="62" s="1"/>
  <c r="G18" i="58" s="1"/>
  <c r="D199" i="62"/>
  <c r="D206" i="62" s="1"/>
  <c r="C18" i="58" s="1"/>
  <c r="N18" i="58" l="1"/>
  <c r="O206" i="62"/>
  <c r="M180" i="47"/>
  <c r="M163" i="47"/>
  <c r="M146" i="47"/>
  <c r="M129" i="47"/>
  <c r="M112" i="47"/>
  <c r="M95" i="47"/>
  <c r="M78" i="47"/>
  <c r="M61" i="47"/>
  <c r="M44" i="47"/>
  <c r="M27" i="47"/>
  <c r="A19" i="22" l="1"/>
  <c r="A24" i="22" l="1"/>
  <c r="A22" i="49"/>
  <c r="A21" i="49"/>
  <c r="A20" i="49"/>
  <c r="A19" i="49"/>
  <c r="D39" i="22"/>
  <c r="E39" i="22"/>
  <c r="F39" i="22"/>
  <c r="G39" i="22"/>
  <c r="H39" i="22"/>
  <c r="I39" i="22"/>
  <c r="J39" i="22"/>
  <c r="K39" i="22"/>
  <c r="L39" i="22"/>
  <c r="M39" i="22"/>
  <c r="N39" i="22"/>
  <c r="C39" i="22"/>
  <c r="A39" i="22"/>
  <c r="A38" i="22"/>
  <c r="A37" i="22"/>
  <c r="A32" i="22"/>
  <c r="A31" i="22"/>
  <c r="A30" i="22"/>
  <c r="A26" i="22"/>
  <c r="A25" i="22"/>
  <c r="A20" i="22"/>
  <c r="A18" i="22"/>
  <c r="M25" i="22"/>
  <c r="N25" i="22" s="1"/>
  <c r="M26" i="22"/>
  <c r="M24" i="22"/>
  <c r="N24" i="22" s="1"/>
  <c r="C32" i="22"/>
  <c r="C30" i="22" l="1"/>
  <c r="D37" i="22" l="1"/>
  <c r="L37" i="22"/>
  <c r="E37" i="22"/>
  <c r="M37" i="22"/>
  <c r="I37" i="22"/>
  <c r="F37" i="22"/>
  <c r="N37" i="22"/>
  <c r="G37" i="22"/>
  <c r="C37" i="22"/>
  <c r="K37" i="22"/>
  <c r="H37" i="22"/>
  <c r="J37" i="22"/>
  <c r="D11" i="30" l="1"/>
  <c r="E11" i="30"/>
  <c r="F11" i="30"/>
  <c r="G11" i="30"/>
  <c r="H11" i="30"/>
  <c r="I11" i="30"/>
  <c r="J11" i="30"/>
  <c r="K11" i="30"/>
  <c r="L11" i="30"/>
  <c r="C11" i="30"/>
  <c r="C11" i="29"/>
  <c r="L11" i="29"/>
  <c r="M11" i="30" l="1"/>
  <c r="C19" i="42"/>
  <c r="E19" i="42"/>
  <c r="D19" i="42"/>
  <c r="F19" i="42"/>
  <c r="G19" i="42"/>
  <c r="H19" i="42"/>
  <c r="I19" i="42"/>
  <c r="J19" i="42"/>
  <c r="H32" i="42"/>
  <c r="G32" i="42"/>
  <c r="F32" i="42"/>
  <c r="H31" i="42"/>
  <c r="G31" i="42"/>
  <c r="F31" i="42"/>
  <c r="H30" i="42"/>
  <c r="G30" i="42"/>
  <c r="F30" i="42"/>
  <c r="H29" i="42"/>
  <c r="G29" i="42"/>
  <c r="F29" i="42"/>
  <c r="H28" i="42"/>
  <c r="G28" i="42"/>
  <c r="F28" i="42"/>
  <c r="H27" i="42"/>
  <c r="G27" i="42"/>
  <c r="F27" i="42"/>
  <c r="H26" i="42"/>
  <c r="G26" i="42"/>
  <c r="F26" i="42"/>
  <c r="H25" i="42"/>
  <c r="G25" i="42"/>
  <c r="F25" i="42"/>
  <c r="H24" i="42"/>
  <c r="G24" i="42"/>
  <c r="F24" i="42"/>
  <c r="G23" i="42"/>
  <c r="H23" i="42"/>
  <c r="F23" i="42"/>
  <c r="I31" i="42" l="1"/>
  <c r="I23" i="42"/>
  <c r="I29" i="42"/>
  <c r="I30" i="42"/>
  <c r="I27" i="42"/>
  <c r="I28" i="42"/>
  <c r="I32" i="42"/>
  <c r="I26" i="42"/>
  <c r="K19" i="42"/>
  <c r="J5" i="58" s="1"/>
  <c r="I25" i="42"/>
  <c r="I24" i="42"/>
  <c r="I33" i="42" l="1"/>
  <c r="B33" i="29"/>
  <c r="B35" i="30"/>
  <c r="D11" i="29"/>
  <c r="E11" i="29"/>
  <c r="F11" i="29"/>
  <c r="G11" i="29"/>
  <c r="H11" i="29"/>
  <c r="I11" i="29"/>
  <c r="J11" i="29"/>
  <c r="K11" i="29"/>
  <c r="K11" i="42"/>
  <c r="P11" i="42" s="1"/>
  <c r="K12" i="42"/>
  <c r="S12" i="42" s="1"/>
  <c r="K13" i="42"/>
  <c r="P13" i="42" s="1"/>
  <c r="K14" i="42"/>
  <c r="M14" i="42" s="1"/>
  <c r="K15" i="42"/>
  <c r="O15" i="42" s="1"/>
  <c r="K16" i="42"/>
  <c r="M16" i="42" s="1"/>
  <c r="K17" i="42"/>
  <c r="P17" i="42" s="1"/>
  <c r="K18" i="42"/>
  <c r="P18" i="42" s="1"/>
  <c r="O9" i="42"/>
  <c r="I5" i="58"/>
  <c r="E5" i="58"/>
  <c r="F5" i="58"/>
  <c r="G5" i="58"/>
  <c r="H5" i="58"/>
  <c r="O16" i="42" l="1"/>
  <c r="Q15" i="42"/>
  <c r="P15" i="42"/>
  <c r="N15" i="42"/>
  <c r="T15" i="42"/>
  <c r="M11" i="29"/>
  <c r="C16" i="29" s="1"/>
  <c r="R14" i="42"/>
  <c r="N14" i="42"/>
  <c r="M18" i="42"/>
  <c r="O18" i="42"/>
  <c r="T14" i="42"/>
  <c r="N18" i="42"/>
  <c r="S14" i="42"/>
  <c r="Q14" i="42"/>
  <c r="P14" i="42"/>
  <c r="O14" i="42"/>
  <c r="R18" i="42"/>
  <c r="T18" i="42"/>
  <c r="S18" i="42"/>
  <c r="Q18" i="42"/>
  <c r="R11" i="42"/>
  <c r="O12" i="42"/>
  <c r="Q11" i="42"/>
  <c r="O11" i="42"/>
  <c r="N11" i="42"/>
  <c r="M11" i="42"/>
  <c r="M12" i="42"/>
  <c r="S11" i="42"/>
  <c r="R15" i="42"/>
  <c r="M15" i="42"/>
  <c r="T12" i="42"/>
  <c r="S15" i="42"/>
  <c r="T11" i="42"/>
  <c r="T17" i="42"/>
  <c r="P16" i="42"/>
  <c r="T16" i="42"/>
  <c r="T13" i="42"/>
  <c r="P12" i="42"/>
  <c r="M17" i="42"/>
  <c r="M13" i="42"/>
  <c r="S16" i="42"/>
  <c r="Q9" i="42"/>
  <c r="S9" i="42"/>
  <c r="P9" i="42"/>
  <c r="N9" i="42"/>
  <c r="T9" i="42"/>
  <c r="O17" i="42"/>
  <c r="S13" i="42"/>
  <c r="R17" i="42"/>
  <c r="N17" i="42"/>
  <c r="R16" i="42"/>
  <c r="N16" i="42"/>
  <c r="R13" i="42"/>
  <c r="N13" i="42"/>
  <c r="R12" i="42"/>
  <c r="N12" i="42"/>
  <c r="S17" i="42"/>
  <c r="O13" i="42"/>
  <c r="Q17" i="42"/>
  <c r="Q16" i="42"/>
  <c r="Q13" i="42"/>
  <c r="Q12" i="42"/>
  <c r="R9" i="42"/>
  <c r="B200" i="49"/>
  <c r="B199" i="49"/>
  <c r="B198" i="49"/>
  <c r="B197" i="49"/>
  <c r="B192" i="49"/>
  <c r="B191" i="49"/>
  <c r="B190" i="49"/>
  <c r="B189" i="49"/>
  <c r="B209" i="47"/>
  <c r="B208" i="47"/>
  <c r="B207" i="47"/>
  <c r="B206" i="47"/>
  <c r="A22" i="47"/>
  <c r="A21" i="47"/>
  <c r="A20" i="47"/>
  <c r="A19" i="47"/>
  <c r="B201" i="47"/>
  <c r="B200" i="47"/>
  <c r="B199" i="47"/>
  <c r="B198" i="47"/>
  <c r="N26" i="22"/>
  <c r="C31" i="22"/>
  <c r="D26" i="29" l="1"/>
  <c r="E26" i="29"/>
  <c r="M26" i="29"/>
  <c r="L20" i="58" s="1"/>
  <c r="H26" i="29"/>
  <c r="F26" i="29"/>
  <c r="N26" i="29"/>
  <c r="M20" i="58" s="1"/>
  <c r="I26" i="29"/>
  <c r="G26" i="29"/>
  <c r="C26" i="29"/>
  <c r="L26" i="29"/>
  <c r="K20" i="58" s="1"/>
  <c r="J26" i="29"/>
  <c r="K26" i="29"/>
  <c r="H38" i="22"/>
  <c r="H43" i="22" s="1"/>
  <c r="G38" i="22"/>
  <c r="G43" i="22" s="1"/>
  <c r="I38" i="22"/>
  <c r="I43" i="22" s="1"/>
  <c r="J38" i="22"/>
  <c r="J43" i="22" s="1"/>
  <c r="E38" i="22"/>
  <c r="E43" i="22" s="1"/>
  <c r="K38" i="22"/>
  <c r="K43" i="22" s="1"/>
  <c r="C38" i="22"/>
  <c r="C43" i="22" s="1"/>
  <c r="M38" i="22"/>
  <c r="M43" i="22" s="1"/>
  <c r="L23" i="58" s="1"/>
  <c r="D38" i="22"/>
  <c r="D43" i="22" s="1"/>
  <c r="L38" i="22"/>
  <c r="L43" i="22" s="1"/>
  <c r="K23" i="58" s="1"/>
  <c r="F38" i="22"/>
  <c r="F43" i="22" s="1"/>
  <c r="N38" i="22"/>
  <c r="N43" i="22" s="1"/>
  <c r="M23" i="58" s="1"/>
  <c r="T19" i="42"/>
  <c r="O43" i="22" l="1"/>
  <c r="H27" i="49"/>
  <c r="H27" i="47"/>
  <c r="I27" i="47" s="1"/>
  <c r="H44" i="47"/>
  <c r="I44" i="47" s="1"/>
  <c r="H61" i="47"/>
  <c r="I61" i="47" s="1"/>
  <c r="K61" i="47" s="1"/>
  <c r="H78" i="47"/>
  <c r="I78" i="47" s="1"/>
  <c r="H95" i="47"/>
  <c r="I95" i="47" s="1"/>
  <c r="H112" i="47"/>
  <c r="I112" i="47" s="1"/>
  <c r="H129" i="47"/>
  <c r="I129" i="47" s="1"/>
  <c r="I146" i="47"/>
  <c r="H163" i="47"/>
  <c r="I163" i="47" s="1"/>
  <c r="H180" i="47"/>
  <c r="I180" i="47" s="1"/>
  <c r="I27" i="49" l="1"/>
  <c r="L27" i="49" s="1"/>
  <c r="O27" i="49" s="1"/>
  <c r="P27" i="49" s="1"/>
  <c r="P37" i="49" s="1"/>
  <c r="C190" i="49"/>
  <c r="K163" i="47"/>
  <c r="N163" i="47" s="1"/>
  <c r="K44" i="47"/>
  <c r="N44" i="47" s="1"/>
  <c r="K78" i="47"/>
  <c r="N78" i="47" s="1"/>
  <c r="K180" i="47"/>
  <c r="N180" i="47" s="1"/>
  <c r="K146" i="47"/>
  <c r="N146" i="47" s="1"/>
  <c r="K95" i="47"/>
  <c r="N95" i="47" s="1"/>
  <c r="N61" i="47"/>
  <c r="O61" i="47" s="1"/>
  <c r="O71" i="47" s="1"/>
  <c r="K129" i="47"/>
  <c r="N129" i="47" s="1"/>
  <c r="O129" i="47" s="1"/>
  <c r="O139" i="47" s="1"/>
  <c r="K112" i="47"/>
  <c r="N112" i="47" s="1"/>
  <c r="O112" i="47" s="1"/>
  <c r="O122" i="47" s="1"/>
  <c r="K27" i="47"/>
  <c r="N27" i="47" s="1"/>
  <c r="O27" i="47" s="1"/>
  <c r="O37" i="47" s="1"/>
  <c r="Q27" i="49" l="1"/>
  <c r="Q37" i="49" s="1"/>
  <c r="O180" i="47"/>
  <c r="O190" i="47" s="1"/>
  <c r="O78" i="47"/>
  <c r="O88" i="47" s="1"/>
  <c r="O44" i="47"/>
  <c r="O54" i="47" s="1"/>
  <c r="O163" i="47"/>
  <c r="O173" i="47" s="1"/>
  <c r="O95" i="47"/>
  <c r="O105" i="47" s="1"/>
  <c r="O146" i="47"/>
  <c r="O156" i="47" s="1"/>
  <c r="C200" i="47"/>
  <c r="P129" i="47"/>
  <c r="P139" i="47" s="1"/>
  <c r="P27" i="47"/>
  <c r="P37" i="47" s="1"/>
  <c r="P61" i="47"/>
  <c r="P71" i="47" s="1"/>
  <c r="C201" i="47"/>
  <c r="P112" i="47"/>
  <c r="P122" i="47" s="1"/>
  <c r="S27" i="49" l="1"/>
  <c r="S37" i="49" s="1"/>
  <c r="P163" i="47"/>
  <c r="P173" i="47" s="1"/>
  <c r="P146" i="47"/>
  <c r="P156" i="47" s="1"/>
  <c r="R112" i="47"/>
  <c r="R122" i="47" s="1"/>
  <c r="P78" i="47"/>
  <c r="P88" i="47" s="1"/>
  <c r="P95" i="47"/>
  <c r="P105" i="47" s="1"/>
  <c r="P180" i="47"/>
  <c r="P190" i="47" s="1"/>
  <c r="R27" i="47"/>
  <c r="R37" i="47" s="1"/>
  <c r="P44" i="47"/>
  <c r="P54" i="47" s="1"/>
  <c r="R129" i="47"/>
  <c r="R139" i="47" s="1"/>
  <c r="R61" i="47"/>
  <c r="R71" i="47" s="1"/>
  <c r="C199" i="49"/>
  <c r="K200" i="49"/>
  <c r="G200" i="49"/>
  <c r="C200" i="49"/>
  <c r="N200" i="49"/>
  <c r="J200" i="49"/>
  <c r="F200" i="49"/>
  <c r="I200" i="49"/>
  <c r="H200" i="49"/>
  <c r="E200" i="49"/>
  <c r="D200" i="49"/>
  <c r="M200" i="49"/>
  <c r="L200" i="49"/>
  <c r="D209" i="47"/>
  <c r="H209" i="47"/>
  <c r="L209" i="47"/>
  <c r="I209" i="47"/>
  <c r="E209" i="47"/>
  <c r="M209" i="47"/>
  <c r="J209" i="47"/>
  <c r="C209" i="47"/>
  <c r="K209" i="47"/>
  <c r="N209" i="47"/>
  <c r="F209" i="47"/>
  <c r="G209" i="47"/>
  <c r="D208" i="47"/>
  <c r="H208" i="47"/>
  <c r="L208" i="47"/>
  <c r="E208" i="47"/>
  <c r="M208" i="47"/>
  <c r="I208" i="47"/>
  <c r="F208" i="47"/>
  <c r="N208" i="47"/>
  <c r="G208" i="47"/>
  <c r="J208" i="47"/>
  <c r="K208" i="47"/>
  <c r="C208" i="47"/>
  <c r="C189" i="49" l="1"/>
  <c r="R163" i="47"/>
  <c r="R173" i="47" s="1"/>
  <c r="R78" i="47"/>
  <c r="R88" i="47" s="1"/>
  <c r="R95" i="47"/>
  <c r="R105" i="47" s="1"/>
  <c r="R180" i="47"/>
  <c r="R190" i="47" s="1"/>
  <c r="R44" i="47"/>
  <c r="R54" i="47" s="1"/>
  <c r="I198" i="49"/>
  <c r="H199" i="49"/>
  <c r="D199" i="49"/>
  <c r="F199" i="49"/>
  <c r="K199" i="49"/>
  <c r="E199" i="49"/>
  <c r="J199" i="49"/>
  <c r="G199" i="49"/>
  <c r="L199" i="49"/>
  <c r="N199" i="49"/>
  <c r="I199" i="49"/>
  <c r="M199" i="49"/>
  <c r="L197" i="49" l="1"/>
  <c r="M197" i="49"/>
  <c r="G197" i="49"/>
  <c r="E197" i="49"/>
  <c r="I197" i="49"/>
  <c r="C197" i="49"/>
  <c r="D197" i="49"/>
  <c r="H197" i="49"/>
  <c r="N197" i="49"/>
  <c r="J197" i="49"/>
  <c r="F197" i="49"/>
  <c r="K197" i="49"/>
  <c r="C198" i="47"/>
  <c r="F198" i="49"/>
  <c r="K198" i="49"/>
  <c r="C199" i="47"/>
  <c r="J207" i="47" s="1"/>
  <c r="M198" i="49"/>
  <c r="G198" i="49"/>
  <c r="E198" i="49"/>
  <c r="C198" i="49"/>
  <c r="N198" i="49"/>
  <c r="G203" i="49"/>
  <c r="F17" i="58" s="1"/>
  <c r="I203" i="49"/>
  <c r="H17" i="58" s="1"/>
  <c r="H203" i="49"/>
  <c r="G17" i="58" s="1"/>
  <c r="L198" i="49"/>
  <c r="J198" i="49"/>
  <c r="D198" i="49"/>
  <c r="H198" i="49"/>
  <c r="D206" i="47" l="1"/>
  <c r="L206" i="47"/>
  <c r="E206" i="47"/>
  <c r="M206" i="47"/>
  <c r="F206" i="47"/>
  <c r="N206" i="47"/>
  <c r="N212" i="47" s="1"/>
  <c r="M16" i="58" s="1"/>
  <c r="G206" i="47"/>
  <c r="G212" i="47" s="1"/>
  <c r="F16" i="58" s="1"/>
  <c r="C206" i="47"/>
  <c r="H206" i="47"/>
  <c r="I206" i="47"/>
  <c r="J206" i="47"/>
  <c r="K206" i="47"/>
  <c r="K212" i="47" s="1"/>
  <c r="J16" i="58" s="1"/>
  <c r="M203" i="49"/>
  <c r="L17" i="58" s="1"/>
  <c r="F203" i="49"/>
  <c r="E17" i="58" s="1"/>
  <c r="N203" i="49"/>
  <c r="M17" i="58" s="1"/>
  <c r="K203" i="49"/>
  <c r="J17" i="58" s="1"/>
  <c r="E203" i="49"/>
  <c r="D17" i="58" s="1"/>
  <c r="C203" i="49"/>
  <c r="B17" i="58" s="1"/>
  <c r="D203" i="49"/>
  <c r="C17" i="58" s="1"/>
  <c r="J203" i="49"/>
  <c r="I17" i="58" s="1"/>
  <c r="L203" i="49"/>
  <c r="K17" i="58" s="1"/>
  <c r="J212" i="47"/>
  <c r="I16" i="58" s="1"/>
  <c r="E212" i="47"/>
  <c r="D16" i="58" s="1"/>
  <c r="M207" i="47"/>
  <c r="E207" i="47"/>
  <c r="L207" i="47"/>
  <c r="I207" i="47"/>
  <c r="I212" i="47" s="1"/>
  <c r="H16" i="58" s="1"/>
  <c r="F207" i="47"/>
  <c r="N207" i="47"/>
  <c r="H207" i="47"/>
  <c r="H212" i="47" s="1"/>
  <c r="G16" i="58" s="1"/>
  <c r="G207" i="47"/>
  <c r="C207" i="47"/>
  <c r="D207" i="47"/>
  <c r="K207" i="47"/>
  <c r="C5" i="58"/>
  <c r="D5" i="58"/>
  <c r="D212" i="47" l="1"/>
  <c r="C16" i="58" s="1"/>
  <c r="F212" i="47"/>
  <c r="E16" i="58" s="1"/>
  <c r="C212" i="47"/>
  <c r="B16" i="58" s="1"/>
  <c r="M212" i="47"/>
  <c r="L16" i="58" s="1"/>
  <c r="L212" i="47"/>
  <c r="K16" i="58" s="1"/>
  <c r="N17" i="58"/>
  <c r="O203" i="49"/>
  <c r="B5" i="58"/>
  <c r="M9" i="42"/>
  <c r="C16" i="30"/>
  <c r="J26" i="30" l="1"/>
  <c r="E26" i="30"/>
  <c r="K26" i="30"/>
  <c r="M26" i="30"/>
  <c r="L21" i="58" s="1"/>
  <c r="L33" i="58" s="1" a="1"/>
  <c r="L33" i="58" s="1"/>
  <c r="G26" i="30"/>
  <c r="I26" i="30"/>
  <c r="L26" i="30"/>
  <c r="K21" i="58" s="1"/>
  <c r="K36" i="58" s="1" a="1"/>
  <c r="K36" i="58" s="1"/>
  <c r="N26" i="30"/>
  <c r="M21" i="58" s="1"/>
  <c r="H26" i="30"/>
  <c r="F26" i="30"/>
  <c r="C26" i="30"/>
  <c r="D26" i="30"/>
  <c r="L34" i="58" a="1"/>
  <c r="L34" i="58" s="1"/>
  <c r="N16" i="58"/>
  <c r="O212" i="47"/>
  <c r="I23" i="58"/>
  <c r="D23" i="58"/>
  <c r="J23" i="58"/>
  <c r="H23" i="58"/>
  <c r="G23" i="58"/>
  <c r="E23" i="58"/>
  <c r="P19" i="42"/>
  <c r="S19" i="42"/>
  <c r="R19" i="42"/>
  <c r="Q19" i="42"/>
  <c r="O19" i="42"/>
  <c r="M19" i="42"/>
  <c r="B23" i="58"/>
  <c r="F23" i="58"/>
  <c r="N19" i="42"/>
  <c r="K5" i="58"/>
  <c r="L35" i="58" l="1" a="1"/>
  <c r="L35" i="58" s="1"/>
  <c r="L31" i="58" a="1"/>
  <c r="L31" i="58" s="1"/>
  <c r="L30" i="58" a="1"/>
  <c r="L30" i="58" s="1"/>
  <c r="K37" i="58" a="1"/>
  <c r="K37" i="58" s="1"/>
  <c r="M36" i="58" a="1"/>
  <c r="M36" i="58" s="1"/>
  <c r="M33" i="58" a="1"/>
  <c r="M33" i="58" s="1"/>
  <c r="M37" i="58" a="1"/>
  <c r="M37" i="58" s="1"/>
  <c r="M34" i="58" a="1"/>
  <c r="M34" i="58" s="1"/>
  <c r="M39" i="58" a="1"/>
  <c r="M39" i="58" s="1"/>
  <c r="M30" i="58" a="1"/>
  <c r="M30" i="58" s="1"/>
  <c r="M31" i="58" a="1"/>
  <c r="M31" i="58" s="1"/>
  <c r="M40" i="58" a="1"/>
  <c r="M40" i="58" s="1"/>
  <c r="M35" i="58" a="1"/>
  <c r="M35" i="58" s="1"/>
  <c r="M32" i="58" a="1"/>
  <c r="M32" i="58" s="1"/>
  <c r="M38" i="58" a="1"/>
  <c r="M38" i="58" s="1"/>
  <c r="L37" i="58" a="1"/>
  <c r="L37" i="58" s="1"/>
  <c r="L32" i="58" a="1"/>
  <c r="L32" i="58" s="1"/>
  <c r="K34" i="58" a="1"/>
  <c r="K34" i="58" s="1"/>
  <c r="K32" i="58" a="1"/>
  <c r="K32" i="58" s="1"/>
  <c r="K30" i="58" a="1"/>
  <c r="K30" i="58" s="1"/>
  <c r="K31" i="58" a="1"/>
  <c r="K31" i="58" s="1"/>
  <c r="K40" i="58" a="1"/>
  <c r="K40" i="58" s="1"/>
  <c r="K33" i="58" a="1"/>
  <c r="K33" i="58" s="1"/>
  <c r="K39" i="58" a="1"/>
  <c r="K39" i="58" s="1"/>
  <c r="L38" i="58" a="1"/>
  <c r="L38" i="58" s="1"/>
  <c r="K38" i="58" a="1"/>
  <c r="K38" i="58" s="1"/>
  <c r="K35" i="58" a="1"/>
  <c r="K35" i="58" s="1"/>
  <c r="L36" i="58" a="1"/>
  <c r="L36" i="58" s="1"/>
  <c r="L40" i="58" a="1"/>
  <c r="L40" i="58" s="1"/>
  <c r="L39" i="58" a="1"/>
  <c r="L39" i="58" s="1"/>
  <c r="H20" i="58"/>
  <c r="J21" i="58"/>
  <c r="C21" i="58"/>
  <c r="E21" i="58"/>
  <c r="I21" i="58"/>
  <c r="D21" i="58"/>
  <c r="F21" i="58"/>
  <c r="G21" i="58"/>
  <c r="H21" i="58"/>
  <c r="B20" i="58"/>
  <c r="O26" i="30"/>
  <c r="B21" i="58"/>
  <c r="C23" i="58"/>
  <c r="N23" i="58" s="1"/>
  <c r="B35" i="58" l="1" a="1"/>
  <c r="B35" i="58" s="1"/>
  <c r="B40" i="58" a="1"/>
  <c r="B40" i="58" s="1"/>
  <c r="B39" i="58" a="1"/>
  <c r="B39" i="58" s="1"/>
  <c r="B38" i="58" a="1"/>
  <c r="B38" i="58" s="1"/>
  <c r="B32" i="58" a="1"/>
  <c r="B32" i="58" s="1"/>
  <c r="B36" i="58" a="1"/>
  <c r="B36" i="58" s="1"/>
  <c r="B31" i="58" a="1"/>
  <c r="B31" i="58" s="1"/>
  <c r="B33" i="58" a="1"/>
  <c r="B33" i="58" s="1"/>
  <c r="B34" i="58" a="1"/>
  <c r="B34" i="58" s="1"/>
  <c r="B37" i="58" a="1"/>
  <c r="B37" i="58" s="1"/>
  <c r="B30" i="58" a="1"/>
  <c r="B30" i="58" s="1"/>
  <c r="H40" i="58" a="1"/>
  <c r="H40" i="58" s="1"/>
  <c r="H30" i="58" a="1"/>
  <c r="H30" i="58" s="1"/>
  <c r="H39" i="58" a="1"/>
  <c r="H39" i="58" s="1"/>
  <c r="H36" i="58" a="1"/>
  <c r="H36" i="58" s="1"/>
  <c r="H35" i="58" a="1"/>
  <c r="H35" i="58" s="1"/>
  <c r="H33" i="58" a="1"/>
  <c r="H33" i="58" s="1"/>
  <c r="H38" i="58" a="1"/>
  <c r="H38" i="58" s="1"/>
  <c r="H37" i="58" a="1"/>
  <c r="H37" i="58" s="1"/>
  <c r="H32" i="58" a="1"/>
  <c r="H32" i="58" s="1"/>
  <c r="H31" i="58" a="1"/>
  <c r="H31" i="58" s="1"/>
  <c r="H34" i="58" a="1"/>
  <c r="H34" i="58" s="1"/>
  <c r="N21" i="58"/>
  <c r="F20" i="58"/>
  <c r="G20" i="58"/>
  <c r="E20" i="58"/>
  <c r="J20" i="58"/>
  <c r="I20" i="58"/>
  <c r="D20" i="58"/>
  <c r="G37" i="58" l="1" a="1"/>
  <c r="G37" i="58" s="1"/>
  <c r="G40" i="58" a="1"/>
  <c r="G40" i="58" s="1"/>
  <c r="G30" i="58" a="1"/>
  <c r="G30" i="58" s="1"/>
  <c r="G35" i="58" a="1"/>
  <c r="G35" i="58" s="1"/>
  <c r="G36" i="58" a="1"/>
  <c r="G36" i="58" s="1"/>
  <c r="G33" i="58" a="1"/>
  <c r="G33" i="58" s="1"/>
  <c r="G34" i="58" a="1"/>
  <c r="G34" i="58" s="1"/>
  <c r="G39" i="58" a="1"/>
  <c r="G39" i="58" s="1"/>
  <c r="G38" i="58" a="1"/>
  <c r="G38" i="58" s="1"/>
  <c r="G31" i="58" a="1"/>
  <c r="G31" i="58" s="1"/>
  <c r="G32" i="58" a="1"/>
  <c r="G32" i="58" s="1"/>
  <c r="F37" i="58" a="1"/>
  <c r="F37" i="58" s="1"/>
  <c r="F32" i="58" a="1"/>
  <c r="F32" i="58" s="1"/>
  <c r="F36" i="58" a="1"/>
  <c r="F36" i="58" s="1"/>
  <c r="F34" i="58" a="1"/>
  <c r="F34" i="58" s="1"/>
  <c r="F40" i="58" a="1"/>
  <c r="F40" i="58" s="1"/>
  <c r="F39" i="58" a="1"/>
  <c r="F39" i="58" s="1"/>
  <c r="F30" i="58" a="1"/>
  <c r="F30" i="58" s="1"/>
  <c r="F31" i="58" a="1"/>
  <c r="F31" i="58" s="1"/>
  <c r="F35" i="58" a="1"/>
  <c r="F35" i="58" s="1"/>
  <c r="F33" i="58" a="1"/>
  <c r="F33" i="58" s="1"/>
  <c r="F38" i="58" a="1"/>
  <c r="F38" i="58" s="1"/>
  <c r="E35" i="58" a="1"/>
  <c r="E35" i="58" s="1"/>
  <c r="E33" i="58" a="1"/>
  <c r="E33" i="58" s="1"/>
  <c r="E30" i="58" a="1"/>
  <c r="E30" i="58" s="1"/>
  <c r="E39" i="58" a="1"/>
  <c r="E39" i="58" s="1"/>
  <c r="E37" i="58" a="1"/>
  <c r="E37" i="58" s="1"/>
  <c r="E36" i="58" a="1"/>
  <c r="E36" i="58" s="1"/>
  <c r="E31" i="58" a="1"/>
  <c r="E31" i="58" s="1"/>
  <c r="E38" i="58" a="1"/>
  <c r="E38" i="58" s="1"/>
  <c r="E32" i="58" a="1"/>
  <c r="E32" i="58" s="1"/>
  <c r="E34" i="58" a="1"/>
  <c r="E34" i="58" s="1"/>
  <c r="E40" i="58" a="1"/>
  <c r="E40" i="58" s="1"/>
  <c r="I37" i="58" a="1"/>
  <c r="I37" i="58" s="1"/>
  <c r="I40" i="58" a="1"/>
  <c r="I40" i="58" s="1"/>
  <c r="I33" i="58" a="1"/>
  <c r="I33" i="58" s="1"/>
  <c r="I34" i="58" a="1"/>
  <c r="I34" i="58" s="1"/>
  <c r="I32" i="58" a="1"/>
  <c r="I32" i="58" s="1"/>
  <c r="I30" i="58" a="1"/>
  <c r="I30" i="58" s="1"/>
  <c r="I35" i="58" a="1"/>
  <c r="I35" i="58" s="1"/>
  <c r="I39" i="58" a="1"/>
  <c r="I39" i="58" s="1"/>
  <c r="I38" i="58" a="1"/>
  <c r="I38" i="58" s="1"/>
  <c r="I36" i="58" a="1"/>
  <c r="I36" i="58" s="1"/>
  <c r="I31" i="58" a="1"/>
  <c r="I31" i="58" s="1"/>
  <c r="D30" i="58" a="1"/>
  <c r="D30" i="58" s="1"/>
  <c r="D35" i="58" a="1"/>
  <c r="D35" i="58" s="1"/>
  <c r="D37" i="58" a="1"/>
  <c r="D37" i="58" s="1"/>
  <c r="D31" i="58" a="1"/>
  <c r="D31" i="58" s="1"/>
  <c r="D34" i="58" a="1"/>
  <c r="D34" i="58" s="1"/>
  <c r="D40" i="58" a="1"/>
  <c r="D40" i="58" s="1"/>
  <c r="D33" i="58" a="1"/>
  <c r="D33" i="58" s="1"/>
  <c r="D36" i="58" a="1"/>
  <c r="D36" i="58" s="1"/>
  <c r="D39" i="58" a="1"/>
  <c r="D39" i="58" s="1"/>
  <c r="D38" i="58" a="1"/>
  <c r="D38" i="58" s="1"/>
  <c r="D32" i="58" a="1"/>
  <c r="D32" i="58" s="1"/>
  <c r="J38" i="58" a="1"/>
  <c r="J38" i="58" s="1"/>
  <c r="J36" i="58" a="1"/>
  <c r="J36" i="58" s="1"/>
  <c r="J30" i="58" a="1"/>
  <c r="J30" i="58" s="1"/>
  <c r="J34" i="58" a="1"/>
  <c r="J34" i="58" s="1"/>
  <c r="J32" i="58" a="1"/>
  <c r="J32" i="58" s="1"/>
  <c r="J31" i="58" a="1"/>
  <c r="J31" i="58" s="1"/>
  <c r="J40" i="58" a="1"/>
  <c r="J40" i="58" s="1"/>
  <c r="J37" i="58" a="1"/>
  <c r="J37" i="58" s="1"/>
  <c r="J35" i="58" a="1"/>
  <c r="J35" i="58" s="1"/>
  <c r="J39" i="58" a="1"/>
  <c r="J39" i="58" s="1"/>
  <c r="J33" i="58" a="1"/>
  <c r="J33" i="58" s="1"/>
  <c r="O26" i="29"/>
  <c r="C20" i="58"/>
  <c r="N20" i="58" l="1"/>
  <c r="C37" i="58" a="1"/>
  <c r="C37" i="58" s="1"/>
  <c r="N37" i="58" s="1"/>
  <c r="C35" i="58" a="1"/>
  <c r="C35" i="58" s="1"/>
  <c r="N35" i="58" s="1"/>
  <c r="C33" i="58" a="1"/>
  <c r="C33" i="58" s="1"/>
  <c r="N33" i="58" s="1"/>
  <c r="C39" i="58" a="1"/>
  <c r="C39" i="58" s="1"/>
  <c r="N39" i="58" s="1"/>
  <c r="C40" i="58" a="1"/>
  <c r="C40" i="58" s="1"/>
  <c r="N40" i="58" s="1"/>
  <c r="C32" i="58" a="1"/>
  <c r="C32" i="58" s="1"/>
  <c r="N32" i="58" s="1"/>
  <c r="C36" i="58" a="1"/>
  <c r="C36" i="58" s="1"/>
  <c r="N36" i="58" s="1"/>
  <c r="C30" i="58" a="1"/>
  <c r="C30" i="58" s="1"/>
  <c r="N30" i="58" s="1"/>
  <c r="C38" i="58" a="1"/>
  <c r="C38" i="58" s="1"/>
  <c r="N38" i="58" s="1"/>
  <c r="C34" i="58" a="1"/>
  <c r="C34" i="58" s="1"/>
  <c r="N34" i="58" s="1"/>
  <c r="C31" i="58" a="1"/>
  <c r="C31" i="58" s="1"/>
  <c r="N31" i="58" s="1"/>
  <c r="O14" i="58" l="1"/>
  <c r="O11" i="58"/>
  <c r="O24" i="58"/>
  <c r="O23" i="58"/>
  <c r="O16" i="58"/>
  <c r="O17" i="58"/>
  <c r="O20" i="58"/>
  <c r="O13" i="58"/>
  <c r="O19" i="58"/>
  <c r="O21" i="58"/>
  <c r="O15" i="58"/>
  <c r="O22" i="58"/>
  <c r="O18" i="58"/>
  <c r="O12" i="58"/>
  <c r="O30" i="58"/>
  <c r="O34" i="58"/>
  <c r="O31" i="58"/>
  <c r="O36" i="58"/>
  <c r="O32" i="58"/>
  <c r="O40" i="58"/>
  <c r="O38" i="58"/>
  <c r="O39" i="58"/>
  <c r="O33" i="58"/>
  <c r="O35" i="58"/>
  <c r="O37" i="5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<sst xmlns="http://schemas.openxmlformats.org/spreadsheetml/2006/main" count="5064" uniqueCount="1034">
  <si>
    <t>Site details</t>
  </si>
  <si>
    <t>Transect #</t>
  </si>
  <si>
    <t>Date (d/m/yr)</t>
  </si>
  <si>
    <t>GPS</t>
  </si>
  <si>
    <t>SUBSTRATE</t>
  </si>
  <si>
    <t>Enter data into pale blue boxes only</t>
  </si>
  <si>
    <t>Transect number</t>
  </si>
  <si>
    <t>Number of quadrats</t>
  </si>
  <si>
    <r>
      <t>Quadrat size (m</t>
    </r>
    <r>
      <rPr>
        <b/>
        <vertAlign val="superscript"/>
        <sz val="11"/>
        <color theme="1"/>
        <rFont val="Arial Narrow"/>
        <family val="2"/>
      </rPr>
      <t>2</t>
    </r>
    <r>
      <rPr>
        <b/>
        <sz val="11"/>
        <color theme="1"/>
        <rFont val="Arial Narrow"/>
        <family val="2"/>
      </rPr>
      <t>)</t>
    </r>
  </si>
  <si>
    <t xml:space="preserve">1. DATA ENTRY - Percent cover per quadrat </t>
  </si>
  <si>
    <t>Proportional cover</t>
  </si>
  <si>
    <t>Live coral</t>
  </si>
  <si>
    <t>Dead coral w/ CCA</t>
  </si>
  <si>
    <t>Dead coral w/turf</t>
  </si>
  <si>
    <t>Macroalgae</t>
  </si>
  <si>
    <t>Rubble</t>
  </si>
  <si>
    <t>Sand</t>
  </si>
  <si>
    <t>Seagrass</t>
  </si>
  <si>
    <t>Other</t>
  </si>
  <si>
    <t>Total</t>
  </si>
  <si>
    <t>Quadrat 1</t>
  </si>
  <si>
    <t>Quadrat 2</t>
  </si>
  <si>
    <t>Quadrat 3</t>
  </si>
  <si>
    <t>Quadrat 4</t>
  </si>
  <si>
    <t>Quadrat 5</t>
  </si>
  <si>
    <t>Quadrat 6</t>
  </si>
  <si>
    <t>Quadrat 7</t>
  </si>
  <si>
    <t>Quadrat 8</t>
  </si>
  <si>
    <t>Quadrat 9</t>
  </si>
  <si>
    <t>Quadrat 10</t>
  </si>
  <si>
    <t>Mean</t>
  </si>
  <si>
    <t xml:space="preserve">2. DATA ENTRY - Rugosity </t>
  </si>
  <si>
    <t xml:space="preserve">Width of quadrat (cm) </t>
  </si>
  <si>
    <t>Profile measure 1 (cm)</t>
  </si>
  <si>
    <t>Profile measure 2 (cm)</t>
  </si>
  <si>
    <t>Profile measure 3 (cm)</t>
  </si>
  <si>
    <t>Rugosity 1</t>
  </si>
  <si>
    <t>Rugosity 2</t>
  </si>
  <si>
    <t>Rugosity 3</t>
  </si>
  <si>
    <t>Mean rugosity</t>
  </si>
  <si>
    <t>BIOERODING URCHINS</t>
  </si>
  <si>
    <r>
      <t>Transect area (m</t>
    </r>
    <r>
      <rPr>
        <b/>
        <vertAlign val="superscript"/>
        <sz val="11"/>
        <color theme="1"/>
        <rFont val="Arial Narrow"/>
        <family val="2"/>
      </rPr>
      <t>2</t>
    </r>
    <r>
      <rPr>
        <b/>
        <sz val="11"/>
        <color theme="1"/>
        <rFont val="Arial Narrow"/>
        <family val="2"/>
      </rPr>
      <t>)</t>
    </r>
  </si>
  <si>
    <t>1. DATA ENTRY - Numbers of individuals/size class/transect</t>
  </si>
  <si>
    <t>SUM # SEA URCHINS OVER ALL QUADRATS</t>
  </si>
  <si>
    <t>Species</t>
  </si>
  <si>
    <t>Test diameter (mm)</t>
  </si>
  <si>
    <t>0-20</t>
  </si>
  <si>
    <t>21-40</t>
  </si>
  <si>
    <t>41-60</t>
  </si>
  <si>
    <t>61-80</t>
  </si>
  <si>
    <t>81-100</t>
  </si>
  <si>
    <t>121-140</t>
  </si>
  <si>
    <t>&gt;140</t>
  </si>
  <si>
    <t>Diadema antillarum</t>
  </si>
  <si>
    <t>Echinometra lucunter</t>
  </si>
  <si>
    <t>Echinometra viridis</t>
  </si>
  <si>
    <t>Eucidaris tribuloides</t>
  </si>
  <si>
    <t>Other species</t>
  </si>
  <si>
    <r>
      <t>2. Size class-specific erosion rates (g ind</t>
    </r>
    <r>
      <rPr>
        <b/>
        <vertAlign val="superscript"/>
        <sz val="11"/>
        <color theme="1"/>
        <rFont val="Arial Narrow"/>
        <family val="2"/>
      </rPr>
      <t>-1</t>
    </r>
    <r>
      <rPr>
        <b/>
        <sz val="11"/>
        <color theme="1"/>
        <rFont val="Arial Narrow"/>
        <family val="2"/>
      </rPr>
      <t xml:space="preserve"> d</t>
    </r>
    <r>
      <rPr>
        <b/>
        <vertAlign val="superscript"/>
        <sz val="11"/>
        <color theme="1"/>
        <rFont val="Arial Narrow"/>
        <family val="2"/>
      </rPr>
      <t>-1</t>
    </r>
    <r>
      <rPr>
        <b/>
        <sz val="11"/>
        <color theme="1"/>
        <rFont val="Arial Narrow"/>
        <family val="2"/>
      </rPr>
      <t>)</t>
    </r>
  </si>
  <si>
    <t>121-140*</t>
  </si>
  <si>
    <t>&gt;140*</t>
  </si>
  <si>
    <t>Rates used from:</t>
  </si>
  <si>
    <t>NB. &gt;100 mm uses 81-100 rates</t>
  </si>
  <si>
    <t>Average of other Caribbean species</t>
  </si>
  <si>
    <r>
      <t>3. Sediment generation rate per species/size class (kg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t>
    </r>
  </si>
  <si>
    <t>assumes all eroded framework is excreted as sediment</t>
  </si>
  <si>
    <t>4. Proportions of sediment grain size fractions produced</t>
  </si>
  <si>
    <t xml:space="preserve">&gt;4 mm </t>
  </si>
  <si>
    <t>2-4 mm</t>
  </si>
  <si>
    <t>1-2 mm</t>
  </si>
  <si>
    <t>0.5-1 mm</t>
  </si>
  <si>
    <t>0.25-0.5 mm</t>
  </si>
  <si>
    <t>0.125-0.25 mm</t>
  </si>
  <si>
    <t>63 to 125 um</t>
  </si>
  <si>
    <t>31-63 um</t>
  </si>
  <si>
    <t>16-31 um</t>
  </si>
  <si>
    <t>8-16 um</t>
  </si>
  <si>
    <t>4-8 um</t>
  </si>
  <si>
    <t>&lt;4 um</t>
  </si>
  <si>
    <t>Udden/Wentworth</t>
  </si>
  <si>
    <t>Pebble</t>
  </si>
  <si>
    <t>Gravel</t>
  </si>
  <si>
    <t>V coarse sand</t>
  </si>
  <si>
    <t>Coarse sand</t>
  </si>
  <si>
    <t>Med sand</t>
  </si>
  <si>
    <t>Fine sand</t>
  </si>
  <si>
    <t>V fine sand</t>
  </si>
  <si>
    <t>Coarse silt</t>
  </si>
  <si>
    <t>Med silt</t>
  </si>
  <si>
    <t>Fine silt</t>
  </si>
  <si>
    <t>V fine silt</t>
  </si>
  <si>
    <t>Clay</t>
  </si>
  <si>
    <t>All urchin species data</t>
  </si>
  <si>
    <t>Average of all above</t>
  </si>
  <si>
    <r>
      <t>5. Sediment production rates (kg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 by grain size fractions</t>
    </r>
  </si>
  <si>
    <t xml:space="preserve">&gt; 4mm </t>
  </si>
  <si>
    <t>21-40 mm</t>
  </si>
  <si>
    <t>41-60 mm</t>
  </si>
  <si>
    <t>61-80 mm</t>
  </si>
  <si>
    <t>81-100 mm</t>
  </si>
  <si>
    <t>Sub-totals</t>
  </si>
  <si>
    <t>0-20 mm</t>
  </si>
  <si>
    <t xml:space="preserve">Use overall average data </t>
  </si>
  <si>
    <t xml:space="preserve">&gt;4mm </t>
  </si>
  <si>
    <t>TOTAL</t>
  </si>
  <si>
    <t>ENDOLITHIC SPONGES</t>
  </si>
  <si>
    <r>
      <t>1. Census data - sponge tissue cover (total cm</t>
    </r>
    <r>
      <rPr>
        <b/>
        <vertAlign val="superscript"/>
        <sz val="11"/>
        <color theme="1"/>
        <rFont val="Arial Narrow"/>
        <family val="2"/>
      </rPr>
      <t>2</t>
    </r>
    <r>
      <rPr>
        <b/>
        <sz val="11"/>
        <color theme="1"/>
        <rFont val="Arial Narrow"/>
        <family val="2"/>
      </rPr>
      <t xml:space="preserve">) per quadrat </t>
    </r>
  </si>
  <si>
    <t>Q1</t>
  </si>
  <si>
    <t>Q2</t>
  </si>
  <si>
    <t>Q3</t>
  </si>
  <si>
    <t>Q4</t>
  </si>
  <si>
    <t>Q5</t>
  </si>
  <si>
    <t>Q6</t>
  </si>
  <si>
    <t>Q7</t>
  </si>
  <si>
    <t>Q8</t>
  </si>
  <si>
    <t>Q9</t>
  </si>
  <si>
    <t>Q10</t>
  </si>
  <si>
    <r>
      <t>cm</t>
    </r>
    <r>
      <rPr>
        <vertAlign val="superscript"/>
        <sz val="11"/>
        <color theme="1"/>
        <rFont val="Arial Narrow"/>
        <family val="2"/>
      </rPr>
      <t>2</t>
    </r>
  </si>
  <si>
    <t>C. aprica</t>
  </si>
  <si>
    <t>C. caribbaea</t>
  </si>
  <si>
    <t>C. tenuis</t>
  </si>
  <si>
    <t>C. varians</t>
  </si>
  <si>
    <t>C. delitrix</t>
  </si>
  <si>
    <t>C. amplicavata</t>
  </si>
  <si>
    <t>Siphonodictyon spp.</t>
  </si>
  <si>
    <t>S. flavolivescens</t>
  </si>
  <si>
    <r>
      <t>2. Measured rate of endolithic bioerosion/m</t>
    </r>
    <r>
      <rPr>
        <b/>
        <vertAlign val="superscript"/>
        <sz val="11"/>
        <color theme="1"/>
        <rFont val="Arial Narrow"/>
        <family val="2"/>
      </rPr>
      <t>2</t>
    </r>
    <r>
      <rPr>
        <b/>
        <sz val="11"/>
        <color theme="1"/>
        <rFont val="Arial Narrow"/>
        <family val="2"/>
      </rPr>
      <t xml:space="preserve"> (from literature)</t>
    </r>
  </si>
  <si>
    <t>Sponge species where known</t>
  </si>
  <si>
    <t>Source (nb. can be user changed if desired)</t>
  </si>
  <si>
    <t>Caribbean species</t>
  </si>
  <si>
    <t>Sponge growth form/species</t>
  </si>
  <si>
    <t>Cliona aprica</t>
  </si>
  <si>
    <t>Mean of above</t>
  </si>
  <si>
    <t>Vc sand</t>
  </si>
  <si>
    <t>C. sand</t>
  </si>
  <si>
    <t>Quadrat #</t>
  </si>
  <si>
    <t>Production rates per species</t>
  </si>
  <si>
    <t>Species 1</t>
  </si>
  <si>
    <t>Species 2</t>
  </si>
  <si>
    <t># per quadrat</t>
  </si>
  <si>
    <t>Tricleocarpa fragilis</t>
  </si>
  <si>
    <t>Ampriroa fragilissima</t>
  </si>
  <si>
    <t>Amphiroa tribulus</t>
  </si>
  <si>
    <t>Species / morphology code (select from above)</t>
  </si>
  <si>
    <t>2. Mean production per species</t>
  </si>
  <si>
    <r>
      <t>Mean production rate (kg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t>
    </r>
  </si>
  <si>
    <t>32-63 um</t>
  </si>
  <si>
    <t>&lt;32 um</t>
  </si>
  <si>
    <t>HALIMEDA</t>
  </si>
  <si>
    <t>Enter species and relevant metrics into grey boxes</t>
  </si>
  <si>
    <t>COPY IN RELEVANT PROPORTIONAL BREAKDOWN DATA FROM "HALIMEDA METRICS" SHEET</t>
  </si>
  <si>
    <t>Species code</t>
  </si>
  <si>
    <t>Volume: segment relationship</t>
  </si>
  <si>
    <t>Crops per year</t>
  </si>
  <si>
    <t>Source/notes</t>
  </si>
  <si>
    <t>Proportions of sediment grain size fractions produced</t>
  </si>
  <si>
    <t xml:space="preserve">Notes on source </t>
  </si>
  <si>
    <t>height h (mm)</t>
  </si>
  <si>
    <t>Calculated # segments</t>
  </si>
  <si>
    <r>
      <t>g CaCO</t>
    </r>
    <r>
      <rPr>
        <b/>
        <vertAlign val="subscript"/>
        <sz val="11"/>
        <color theme="1"/>
        <rFont val="Arial Narrow"/>
        <family val="2"/>
      </rPr>
      <t>3</t>
    </r>
    <r>
      <rPr>
        <b/>
        <sz val="11"/>
        <color theme="1"/>
        <rFont val="Arial Narrow"/>
        <family val="2"/>
      </rPr>
      <t>/m</t>
    </r>
    <r>
      <rPr>
        <b/>
        <vertAlign val="superscript"/>
        <sz val="11"/>
        <color theme="1"/>
        <rFont val="Arial Narrow"/>
        <family val="2"/>
      </rPr>
      <t>2</t>
    </r>
    <r>
      <rPr>
        <b/>
        <sz val="11"/>
        <color theme="1"/>
        <rFont val="Arial Narrow"/>
        <family val="2"/>
      </rPr>
      <t>/yr</t>
    </r>
  </si>
  <si>
    <r>
      <t>kg CaCO</t>
    </r>
    <r>
      <rPr>
        <b/>
        <vertAlign val="subscript"/>
        <sz val="11"/>
        <color theme="1"/>
        <rFont val="Arial Narrow"/>
        <family val="2"/>
      </rPr>
      <t>3</t>
    </r>
    <r>
      <rPr>
        <b/>
        <sz val="11"/>
        <color theme="1"/>
        <rFont val="Arial Narrow"/>
        <family val="2"/>
      </rPr>
      <t>/m</t>
    </r>
    <r>
      <rPr>
        <b/>
        <vertAlign val="superscript"/>
        <sz val="11"/>
        <color theme="1"/>
        <rFont val="Arial Narrow"/>
        <family val="2"/>
      </rPr>
      <t>2</t>
    </r>
    <r>
      <rPr>
        <b/>
        <sz val="11"/>
        <color theme="1"/>
        <rFont val="Arial Narrow"/>
        <family val="2"/>
      </rPr>
      <t>/yr</t>
    </r>
  </si>
  <si>
    <t>Species 3</t>
  </si>
  <si>
    <t>Species 4</t>
  </si>
  <si>
    <t>Species 5</t>
  </si>
  <si>
    <t>Species 6</t>
  </si>
  <si>
    <t>Species 7</t>
  </si>
  <si>
    <t>Species 8</t>
  </si>
  <si>
    <t>2. Mean sediment production per species</t>
  </si>
  <si>
    <r>
      <t>3. Sediment production rates (kg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 by grain size fractions</t>
    </r>
  </si>
  <si>
    <r>
      <t>TOTAL production rates (kg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 by grain size fractions</t>
    </r>
  </si>
  <si>
    <t>Halimeda species and published metrics</t>
  </si>
  <si>
    <t>Full list (Algal base)</t>
  </si>
  <si>
    <t>Region</t>
  </si>
  <si>
    <t>Basic growth form</t>
  </si>
  <si>
    <t xml:space="preserve">Description </t>
  </si>
  <si>
    <t>Images/description</t>
  </si>
  <si>
    <t xml:space="preserve">Possible species substitutes for rates </t>
  </si>
  <si>
    <t>Halimeda batanensis</t>
  </si>
  <si>
    <t>Pacific</t>
  </si>
  <si>
    <t>Erect</t>
  </si>
  <si>
    <t>Compact, erect, flattened (fan-like) branching, segments to 4-5 mm</t>
  </si>
  <si>
    <t xml:space="preserve">Hillis-Colinvaux 1980 - page 115-116 </t>
  </si>
  <si>
    <r>
      <t xml:space="preserve">At present use </t>
    </r>
    <r>
      <rPr>
        <i/>
        <sz val="11"/>
        <color theme="1"/>
        <rFont val="Arial Narrow"/>
        <family val="2"/>
      </rPr>
      <t>H. micronesica</t>
    </r>
  </si>
  <si>
    <t>Halimeda bikinensis </t>
  </si>
  <si>
    <t>Relatively compact, erect, open branching, segments to 20-25 mm</t>
  </si>
  <si>
    <t xml:space="preserve">Hillis-Colinvaux 1980 - page 141-142 </t>
  </si>
  <si>
    <r>
      <t xml:space="preserve">At present use </t>
    </r>
    <r>
      <rPr>
        <i/>
        <sz val="11"/>
        <color theme="1"/>
        <rFont val="Arial Narrow"/>
        <family val="2"/>
      </rPr>
      <t>H. macrophysa</t>
    </r>
    <r>
      <rPr>
        <sz val="11"/>
        <color theme="1"/>
        <rFont val="Arial Narrow"/>
        <family val="2"/>
      </rPr>
      <t xml:space="preserve"> or </t>
    </r>
    <r>
      <rPr>
        <i/>
        <sz val="11"/>
        <color theme="1"/>
        <rFont val="Arial Narrow"/>
        <family val="2"/>
      </rPr>
      <t>H. discoidea</t>
    </r>
  </si>
  <si>
    <t>Halimeda borneensis</t>
  </si>
  <si>
    <t>Erect/compact</t>
  </si>
  <si>
    <t>Compact, erect, flattened (fan-like) branching, segments to ~20 mm</t>
  </si>
  <si>
    <t>Hillis-Colinvaux 1980 - page 105-106</t>
  </si>
  <si>
    <t>Halimeda brevicaulis</t>
  </si>
  <si>
    <t>Pan-tropical</t>
  </si>
  <si>
    <r>
      <t xml:space="preserve">Synonym of </t>
    </r>
    <r>
      <rPr>
        <i/>
        <sz val="11"/>
        <color theme="1"/>
        <rFont val="Arial Narrow"/>
        <family val="2"/>
      </rPr>
      <t>H. incrassata</t>
    </r>
  </si>
  <si>
    <r>
      <t xml:space="preserve">See </t>
    </r>
    <r>
      <rPr>
        <i/>
        <sz val="11"/>
        <color theme="1"/>
        <rFont val="Arial Narrow"/>
        <family val="2"/>
      </rPr>
      <t>H. incrassata</t>
    </r>
  </si>
  <si>
    <t>Halimeda copiosa</t>
  </si>
  <si>
    <t>Caribbean/Atlantic</t>
  </si>
  <si>
    <t>Sprawling</t>
  </si>
  <si>
    <t>Loose, open, very elongate branches, segments to 15-20 mm</t>
  </si>
  <si>
    <t>Hillis-Colinvaux 1980 - page 118-119</t>
  </si>
  <si>
    <t>??</t>
  </si>
  <si>
    <t>Halimeda cordata</t>
  </si>
  <si>
    <r>
      <t xml:space="preserve">As </t>
    </r>
    <r>
      <rPr>
        <i/>
        <sz val="11"/>
        <color theme="1"/>
        <rFont val="Arial Narrow"/>
        <family val="2"/>
      </rPr>
      <t>H. opuntia</t>
    </r>
  </si>
  <si>
    <r>
      <t xml:space="preserve">Synonym of </t>
    </r>
    <r>
      <rPr>
        <i/>
        <sz val="11"/>
        <color theme="1"/>
        <rFont val="Arial Narrow"/>
        <family val="2"/>
      </rPr>
      <t>H. opuntia</t>
    </r>
  </si>
  <si>
    <r>
      <t xml:space="preserve">See </t>
    </r>
    <r>
      <rPr>
        <i/>
        <sz val="11"/>
        <color theme="1"/>
        <rFont val="Arial Narrow"/>
        <family val="2"/>
      </rPr>
      <t>H. opuntia</t>
    </r>
  </si>
  <si>
    <t>Halimeda cryptica </t>
  </si>
  <si>
    <t>Semi-erect/sprawling</t>
  </si>
  <si>
    <t xml:space="preserve">Loose, open branches (hanging pendants), segments to 15 mm </t>
  </si>
  <si>
    <t>Hillis-Colinvaux 1980 - page 154</t>
  </si>
  <si>
    <t>Halimeda cuneata </t>
  </si>
  <si>
    <t>Indian Ocean</t>
  </si>
  <si>
    <t>Tall, loosely organised open branches, segments to ~20 mm</t>
  </si>
  <si>
    <t>Hillis-Colinvaux 1980 - page 124-125</t>
  </si>
  <si>
    <t>Halimeda cylindracea</t>
  </si>
  <si>
    <t>Indo-Pacific</t>
  </si>
  <si>
    <t>Erect, compacted branched, elongage cylindrical segments to 10 x 4 mm</t>
  </si>
  <si>
    <t>Hillis-Colinvaux 1980 - page 100-101</t>
  </si>
  <si>
    <t>Halimeda discoidea</t>
  </si>
  <si>
    <t>Compact</t>
  </si>
  <si>
    <t>Compact cushion-like clumps, segments to 30 mm</t>
  </si>
  <si>
    <t>Hillis-Colinvaux 1980 - page 136-137</t>
  </si>
  <si>
    <t>Halimeda distorta</t>
  </si>
  <si>
    <t>Bushy, open, complex branches, segments to 20mm</t>
  </si>
  <si>
    <t>Hillis-Colinvaux 1980 - page 120-121</t>
  </si>
  <si>
    <t>Halimeda favulosa </t>
  </si>
  <si>
    <t>Tall, sub-erect, dense branches, segments to 13 mm</t>
  </si>
  <si>
    <t>Hillis-Colinvaux 1980 - page 96-97</t>
  </si>
  <si>
    <r>
      <t>At present use</t>
    </r>
    <r>
      <rPr>
        <i/>
        <sz val="11"/>
        <color theme="1"/>
        <rFont val="Arial Narrow"/>
        <family val="2"/>
      </rPr>
      <t xml:space="preserve"> H. monile</t>
    </r>
    <r>
      <rPr>
        <sz val="11"/>
        <color theme="1"/>
        <rFont val="Arial Narrow"/>
        <family val="2"/>
      </rPr>
      <t xml:space="preserve"> or </t>
    </r>
    <r>
      <rPr>
        <i/>
        <sz val="11"/>
        <color theme="1"/>
        <rFont val="Arial Narrow"/>
        <family val="2"/>
      </rPr>
      <t>H. incrassat</t>
    </r>
    <r>
      <rPr>
        <sz val="11"/>
        <color theme="1"/>
        <rFont val="Arial Narrow"/>
        <family val="2"/>
      </rPr>
      <t>a</t>
    </r>
  </si>
  <si>
    <t>Halimeda fragilis</t>
  </si>
  <si>
    <t>Compact, cushion-like, segments to 16 mm</t>
  </si>
  <si>
    <t>Hillis-Colinvaux 1980 - page 151-152</t>
  </si>
  <si>
    <r>
      <t xml:space="preserve">At present use </t>
    </r>
    <r>
      <rPr>
        <i/>
        <sz val="11"/>
        <color theme="1"/>
        <rFont val="Arial Narrow"/>
        <family val="2"/>
      </rPr>
      <t>H. opuntia</t>
    </r>
  </si>
  <si>
    <t>Halimeda gigas</t>
  </si>
  <si>
    <t>Loosely organised with very large segments to ~40 mm</t>
  </si>
  <si>
    <t>Hillis-Colinvaux 1980 - page 132-133</t>
  </si>
  <si>
    <t>Halimeda goreaui</t>
  </si>
  <si>
    <t>Loosely branched (in a plane), with small segments (2-4 mm)</t>
  </si>
  <si>
    <t>Hillis-Colinvaux 1980 - page 112-113</t>
  </si>
  <si>
    <t>Halimeda gracilis </t>
  </si>
  <si>
    <t>Flaccid, straggling but very long branches, segments to 15 mm</t>
  </si>
  <si>
    <t>Hillis-Colinvaux 1980 - page 144-145</t>
  </si>
  <si>
    <t>Halimeda hederacea </t>
  </si>
  <si>
    <r>
      <t xml:space="preserve">As </t>
    </r>
    <r>
      <rPr>
        <i/>
        <sz val="11"/>
        <color theme="1"/>
        <rFont val="Arial Narrow"/>
        <family val="2"/>
      </rPr>
      <t>H. distorta</t>
    </r>
  </si>
  <si>
    <r>
      <t xml:space="preserve">Synonym of </t>
    </r>
    <r>
      <rPr>
        <i/>
        <sz val="11"/>
        <color theme="1"/>
        <rFont val="Arial Narrow"/>
        <family val="2"/>
      </rPr>
      <t>H. distorta</t>
    </r>
  </si>
  <si>
    <t>See H. distorta</t>
  </si>
  <si>
    <r>
      <t xml:space="preserve">See </t>
    </r>
    <r>
      <rPr>
        <i/>
        <sz val="11"/>
        <color theme="1"/>
        <rFont val="Arial Narrow"/>
        <family val="2"/>
      </rPr>
      <t>H. distorta</t>
    </r>
  </si>
  <si>
    <t>Halimeda heteromorpha </t>
  </si>
  <si>
    <t xml:space="preserve">Compact, open branches, segments to ~15 mm ? </t>
  </si>
  <si>
    <t>Newer species</t>
  </si>
  <si>
    <t>Halimeda howensis </t>
  </si>
  <si>
    <t xml:space="preserve">Pacific </t>
  </si>
  <si>
    <t>No details</t>
  </si>
  <si>
    <t>No details - see Noble, J.M. &amp; Kraft, G.T. (2007)</t>
  </si>
  <si>
    <t>Halimeda hummii</t>
  </si>
  <si>
    <t>No details - see Ballantine, D.L. (1982).</t>
  </si>
  <si>
    <t>Halimeda incrassata</t>
  </si>
  <si>
    <t xml:space="preserve">Erect, compact, branching from near base, segments to ~15 mm </t>
  </si>
  <si>
    <t>Hillis-Colinvaux 1980 - page 93-94</t>
  </si>
  <si>
    <t>Halimeda kanaloana</t>
  </si>
  <si>
    <t>Hawaii</t>
  </si>
  <si>
    <r>
      <t xml:space="preserve">Similar to </t>
    </r>
    <r>
      <rPr>
        <i/>
        <sz val="11"/>
        <color theme="1"/>
        <rFont val="Arial Narrow"/>
        <family val="2"/>
      </rPr>
      <t xml:space="preserve">H. incrassata ? </t>
    </r>
  </si>
  <si>
    <t>Halimeda lacrimosa</t>
  </si>
  <si>
    <t xml:space="preserve">Atlantic </t>
  </si>
  <si>
    <t xml:space="preserve">Short, fragile, straggling plants, segments to 5 mm </t>
  </si>
  <si>
    <t>Hillis-Colinvaux 1980 - page 147-148</t>
  </si>
  <si>
    <t>Halimeda lacunalis</t>
  </si>
  <si>
    <t>Tall, erect plants, segments to 20 mm</t>
  </si>
  <si>
    <t>Hillis-Colinvaux 1980 - page 129-130</t>
  </si>
  <si>
    <t>Halimeda laxa</t>
  </si>
  <si>
    <r>
      <t xml:space="preserve">As </t>
    </r>
    <r>
      <rPr>
        <i/>
        <sz val="11"/>
        <color theme="1"/>
        <rFont val="Arial Narrow"/>
        <family val="2"/>
      </rPr>
      <t>H. gracilis</t>
    </r>
  </si>
  <si>
    <r>
      <t xml:space="preserve">Synonym of </t>
    </r>
    <r>
      <rPr>
        <i/>
        <sz val="11"/>
        <color theme="1"/>
        <rFont val="Arial Narrow"/>
        <family val="2"/>
      </rPr>
      <t>H. gracilis</t>
    </r>
  </si>
  <si>
    <r>
      <t xml:space="preserve">See </t>
    </r>
    <r>
      <rPr>
        <i/>
        <sz val="11"/>
        <color theme="1"/>
        <rFont val="Arial Narrow"/>
        <family val="2"/>
      </rPr>
      <t>H. gracilis</t>
    </r>
  </si>
  <si>
    <t>Halimeda macroloba</t>
  </si>
  <si>
    <t>Erect flat or bushy with large segments (to ~40 mm)</t>
  </si>
  <si>
    <t>Hillis-Colinvaux 1980 - page 108-109</t>
  </si>
  <si>
    <t>Halimeda macrophysa</t>
  </si>
  <si>
    <t>Compact to erect  with large segments (to ~25 mm)</t>
  </si>
  <si>
    <t>Hillis-Colinvaux 1980 - page 134-135</t>
  </si>
  <si>
    <t>Halimeda magnidisca </t>
  </si>
  <si>
    <t xml:space="preserve">No details </t>
  </si>
  <si>
    <t>Noble JM (1986)</t>
  </si>
  <si>
    <t>Halimeda melanesica</t>
  </si>
  <si>
    <t xml:space="preserve">Form flaccid clumps to 12 cm tall, segments to 9 mm </t>
  </si>
  <si>
    <t>Hillis-Colinvaux 1980 - page 153-154</t>
  </si>
  <si>
    <t>Halimeda micronesica</t>
  </si>
  <si>
    <t xml:space="preserve">Compact, spreading, dense branches, segments to ~9 mm </t>
  </si>
  <si>
    <t>Hillis-Colinvaux 1980 - page 149-150</t>
  </si>
  <si>
    <t>Halimeda minima</t>
  </si>
  <si>
    <t xml:space="preserve">Erect, bushy, open branching (to ~9 cm tall), segments to ~5 mm </t>
  </si>
  <si>
    <t>Hillis-Colinvaux 1980 - page 113-114</t>
  </si>
  <si>
    <t>Halimeda monile</t>
  </si>
  <si>
    <t>Compact, robust to 16 cm tall, cylindrical segments to ~ 8mm</t>
  </si>
  <si>
    <t>Hillis-Colinvaux 1980 - page 98-99</t>
  </si>
  <si>
    <r>
      <t xml:space="preserve">At present use </t>
    </r>
    <r>
      <rPr>
        <i/>
        <sz val="11"/>
        <color theme="1"/>
        <rFont val="Arial Narrow"/>
        <family val="2"/>
      </rPr>
      <t>H. incrassata</t>
    </r>
  </si>
  <si>
    <t>Halimeda multicaulis </t>
  </si>
  <si>
    <t xml:space="preserve">Halimeda nervata </t>
  </si>
  <si>
    <t>Red Sea</t>
  </si>
  <si>
    <t>Halimeda obovata</t>
  </si>
  <si>
    <r>
      <t xml:space="preserve">As </t>
    </r>
    <r>
      <rPr>
        <i/>
        <sz val="11"/>
        <color theme="1"/>
        <rFont val="Arial Narrow"/>
        <family val="2"/>
      </rPr>
      <t>H. cuneata</t>
    </r>
  </si>
  <si>
    <r>
      <t xml:space="preserve">Synonym of </t>
    </r>
    <r>
      <rPr>
        <i/>
        <sz val="11"/>
        <color theme="1"/>
        <rFont val="Arial Narrow"/>
        <family val="2"/>
      </rPr>
      <t>Halimeda cuneata</t>
    </r>
  </si>
  <si>
    <r>
      <t xml:space="preserve">See </t>
    </r>
    <r>
      <rPr>
        <i/>
        <sz val="11"/>
        <color theme="1"/>
        <rFont val="Arial Narrow"/>
        <family val="2"/>
      </rPr>
      <t>H. cuneata</t>
    </r>
  </si>
  <si>
    <t>Halimeda opuntia</t>
  </si>
  <si>
    <t>Compact or sprawling with both erect and lateral growth.</t>
  </si>
  <si>
    <t>Hillis-Colinvaux 1980 - page 110-111</t>
  </si>
  <si>
    <t>Halimeda orientalis</t>
  </si>
  <si>
    <r>
      <t xml:space="preserve">As </t>
    </r>
    <r>
      <rPr>
        <i/>
        <sz val="11"/>
        <color theme="1"/>
        <rFont val="Arial Narrow"/>
        <family val="2"/>
      </rPr>
      <t>H. micronesica</t>
    </r>
  </si>
  <si>
    <r>
      <t>Synonym of</t>
    </r>
    <r>
      <rPr>
        <i/>
        <sz val="11"/>
        <color theme="1"/>
        <rFont val="Arial Narrow"/>
        <family val="2"/>
      </rPr>
      <t xml:space="preserve"> Halimeda micronesica</t>
    </r>
  </si>
  <si>
    <r>
      <t xml:space="preserve">See </t>
    </r>
    <r>
      <rPr>
        <i/>
        <sz val="11"/>
        <color theme="1"/>
        <rFont val="Arial Narrow"/>
        <family val="2"/>
      </rPr>
      <t>H. micronesica</t>
    </r>
  </si>
  <si>
    <t>Halimeda papyracea</t>
  </si>
  <si>
    <t>Indo-Pacific/Red Sea</t>
  </si>
  <si>
    <t>Halimeda platydisca</t>
  </si>
  <si>
    <r>
      <t xml:space="preserve">As </t>
    </r>
    <r>
      <rPr>
        <i/>
        <sz val="11"/>
        <color theme="1"/>
        <rFont val="Arial Narrow"/>
        <family val="2"/>
      </rPr>
      <t>H. tuna</t>
    </r>
  </si>
  <si>
    <r>
      <t xml:space="preserve">Synonym of </t>
    </r>
    <r>
      <rPr>
        <i/>
        <sz val="11"/>
        <color theme="1"/>
        <rFont val="Arial Narrow"/>
        <family val="2"/>
      </rPr>
      <t>Halimeda tuna</t>
    </r>
  </si>
  <si>
    <r>
      <t xml:space="preserve">See </t>
    </r>
    <r>
      <rPr>
        <i/>
        <sz val="11"/>
        <color theme="1"/>
        <rFont val="Arial Narrow"/>
        <family val="2"/>
      </rPr>
      <t>H. tuna</t>
    </r>
  </si>
  <si>
    <t>Halimeda polydactylis</t>
  </si>
  <si>
    <r>
      <t xml:space="preserve">As </t>
    </r>
    <r>
      <rPr>
        <i/>
        <sz val="11"/>
        <color theme="1"/>
        <rFont val="Arial Narrow"/>
        <family val="2"/>
      </rPr>
      <t>H. cylindracea</t>
    </r>
  </si>
  <si>
    <r>
      <t xml:space="preserve">Synonym of </t>
    </r>
    <r>
      <rPr>
        <i/>
        <sz val="11"/>
        <color theme="1"/>
        <rFont val="Arial Narrow"/>
        <family val="2"/>
      </rPr>
      <t>Halimeda cylindracea</t>
    </r>
  </si>
  <si>
    <t>See H. cylindracea</t>
  </si>
  <si>
    <r>
      <t xml:space="preserve">See </t>
    </r>
    <r>
      <rPr>
        <i/>
        <sz val="11"/>
        <color theme="1"/>
        <rFont val="Arial Narrow"/>
        <family val="2"/>
      </rPr>
      <t>H. cylindracea</t>
    </r>
  </si>
  <si>
    <t>Halimeda pumila </t>
  </si>
  <si>
    <t>Dwarf species</t>
  </si>
  <si>
    <t>Verbruggen, H., Littler, D.S., &amp; Littler, M.M. (2007).</t>
  </si>
  <si>
    <t>Halimeda pygmaea </t>
  </si>
  <si>
    <t>Halimeda rectangularis </t>
  </si>
  <si>
    <t>Halimeda renschii</t>
  </si>
  <si>
    <t xml:space="preserve">Compact, erect to 8cm, flat (plane) thallus, segments to 4 mm </t>
  </si>
  <si>
    <t>Halimeda ryukyuensis</t>
  </si>
  <si>
    <t>Japan</t>
  </si>
  <si>
    <t>Kojima, R., Hanyuda, T. &amp; Kawai, H. (2015).</t>
  </si>
  <si>
    <t>Halimeda scabra</t>
  </si>
  <si>
    <t>Atlantic/Caribbean</t>
  </si>
  <si>
    <t>Cushion-like clumps, or spreading, segments to 20 mm</t>
  </si>
  <si>
    <t xml:space="preserve">Hillis-Colinvaux 1980 - page 127-128 </t>
  </si>
  <si>
    <t>Halimeda simulans</t>
  </si>
  <si>
    <t xml:space="preserve">Erect, compact or cushion-like clumps to 12 cm tall, segments to 15 mm </t>
  </si>
  <si>
    <t>Hillis-Colinvaux 1980 - page 103-104</t>
  </si>
  <si>
    <t>Halimeda stuposa</t>
  </si>
  <si>
    <t>Erect, compact, thick-set to 10cm tall, segments to 11 mm</t>
  </si>
  <si>
    <t>Hillis-Colinvaux 1980 - page 101-102</t>
  </si>
  <si>
    <t>Halimeda taenicola</t>
  </si>
  <si>
    <t>Erect and compact to 15 cm, segments to 20 mm</t>
  </si>
  <si>
    <t>Hillis-Colinvaux 1980 - page 139-140</t>
  </si>
  <si>
    <t>Halimeda tridens</t>
  </si>
  <si>
    <r>
      <t>As</t>
    </r>
    <r>
      <rPr>
        <i/>
        <sz val="11"/>
        <color theme="1"/>
        <rFont val="Arial Narrow"/>
        <family val="2"/>
      </rPr>
      <t xml:space="preserve"> H. incrassata</t>
    </r>
  </si>
  <si>
    <r>
      <t xml:space="preserve">Synonym of </t>
    </r>
    <r>
      <rPr>
        <i/>
        <sz val="11"/>
        <color theme="1"/>
        <rFont val="Arial Narrow"/>
        <family val="2"/>
      </rPr>
      <t>Halimeda incrassata</t>
    </r>
  </si>
  <si>
    <t>Halimeda triloba</t>
  </si>
  <si>
    <r>
      <t xml:space="preserve">Synonym of </t>
    </r>
    <r>
      <rPr>
        <i/>
        <sz val="11"/>
        <color theme="1"/>
        <rFont val="Arial Narrow"/>
        <family val="2"/>
      </rPr>
      <t>Halimeda opuntia</t>
    </r>
  </si>
  <si>
    <t>Halimeda tuna</t>
  </si>
  <si>
    <t>Spreading or compact clumps to 15 cm tall, segments to 20 mm</t>
  </si>
  <si>
    <t>Hillis-Colinvaux 1980 - page 122-123</t>
  </si>
  <si>
    <t>Halimeda velasquezii  </t>
  </si>
  <si>
    <t>Halimeda versatilis</t>
  </si>
  <si>
    <r>
      <t>See</t>
    </r>
    <r>
      <rPr>
        <i/>
        <sz val="11"/>
        <color theme="1"/>
        <rFont val="Arial Narrow"/>
        <family val="2"/>
      </rPr>
      <t xml:space="preserve"> H. cuneata</t>
    </r>
  </si>
  <si>
    <t>Halimeda xishaensis</t>
  </si>
  <si>
    <t>Dong, M.L. &amp; Tseng, C.K. (1980)</t>
  </si>
  <si>
    <t>Species not recognised in Algaebase, or waiting verification</t>
  </si>
  <si>
    <t>Halimeda cylindrica</t>
  </si>
  <si>
    <t>Awaiting verification in Algal Base</t>
  </si>
  <si>
    <t>Halimeda lessonii</t>
  </si>
  <si>
    <t>Halimeda monilis</t>
  </si>
  <si>
    <t>Halimeda ovata</t>
  </si>
  <si>
    <t>Halimeda saportae</t>
  </si>
  <si>
    <t>Halimeda stenodactylis</t>
  </si>
  <si>
    <t>Halimeda tuberosa</t>
  </si>
  <si>
    <t>METRICS AND RATES FOR SPREADSHEET</t>
  </si>
  <si>
    <t xml:space="preserve">NOTE: where specific metrics cannot be collected locally and appropriate data has not yet been published we would recommend using an average of existing data grouped by growth form, or an average of all data for more complex growth forms. </t>
  </si>
  <si>
    <t>Post-mortem grain size fraction contributions (PROPORTIONS NOT RELATIVE %)</t>
  </si>
  <si>
    <t xml:space="preserve">Source/Notes </t>
  </si>
  <si>
    <t xml:space="preserve">Source/notes </t>
  </si>
  <si>
    <t>CaCO3 per segment (g)</t>
  </si>
  <si>
    <t>Source</t>
  </si>
  <si>
    <t>As H. opuntia</t>
  </si>
  <si>
    <t>y = 9.3091x</t>
  </si>
  <si>
    <t xml:space="preserve">GBR, Lizard Isld (shallow reef/lagoon) - Perry et al. (2016) Sed Geol 346: 17-24. </t>
  </si>
  <si>
    <t>New Caledonia (shallow lagoon) Garrigue (1991) Oceanologica Acta   14: 581-588.</t>
  </si>
  <si>
    <t>Jamaica (reef/lagoon) Hillis-Colinvaux (1980) Adv. Marine Biol 17: 1-327</t>
  </si>
  <si>
    <t>As H. distorta</t>
  </si>
  <si>
    <t>y = 9.8355x</t>
  </si>
  <si>
    <t>Eleuthera (lagoon) - Perry et al. 2019. Frontier in Mar Sci.</t>
  </si>
  <si>
    <t>Antigua (reef/lagoon sites) - Multer (1988) Coral Reefs 6: 179-186</t>
  </si>
  <si>
    <t>Eleuthera (lagoon) - Perry et al. (collected Jun 2017) - unpub data</t>
  </si>
  <si>
    <t>Eleuthera (lagoon) - Perry et al. (collected Nov 2016) - unpub data</t>
  </si>
  <si>
    <t>San Salvador (lagoon) - Freile (2004) 11th Symp Geology of Bahamas 95-106.</t>
  </si>
  <si>
    <t>San Salvador (lagoon) - Freile (2012) 11th Symp Geology of Bahamas 61-70.</t>
  </si>
  <si>
    <t>San Salvador (lagoon) - Freile (2012) 15th Symp Geology of Bahamas 61-70.</t>
  </si>
  <si>
    <t>Bermuda (lagoon) - Wefer (1980) Nature 285: 323-324</t>
  </si>
  <si>
    <t>Panama (lagoon) Freile &amp; Hillis (1997) Proc 8th Int. Coral Reef Symp. 1: 767-772</t>
  </si>
  <si>
    <t>Mexico (lagoon) van Tussenbroek &amp; van Dijk (2007) J. Phcol. 43: 69-77.</t>
  </si>
  <si>
    <t>Chagos (Perry unpub data)</t>
  </si>
  <si>
    <t>Chagos -Perry (unpublished data)</t>
  </si>
  <si>
    <t>As H. gracilis</t>
  </si>
  <si>
    <t>y = 1.5005x</t>
  </si>
  <si>
    <t>Lizard Island (Perry &amp; Salter, unpublished data)</t>
  </si>
  <si>
    <t>y = 1.6158x</t>
  </si>
  <si>
    <t xml:space="preserve">Maldives (shallow reef/reef flat) - Perry et al. (2016) Sed Geol 346: 17-24. </t>
  </si>
  <si>
    <t>y = 22.13x</t>
  </si>
  <si>
    <t>y = 13.277x</t>
  </si>
  <si>
    <t>As H. cuneata</t>
  </si>
  <si>
    <t xml:space="preserve">St. Croix (lagoon) - Multer and Clavijo (2004) </t>
  </si>
  <si>
    <t>Jamaica (reef/lagoon) Hillis-Colinvaux (1980) Adv. Marine Biol 17: 1-328</t>
  </si>
  <si>
    <t>y = 6.1029x</t>
  </si>
  <si>
    <t>As H. micronesica</t>
  </si>
  <si>
    <t>As H. tuna</t>
  </si>
  <si>
    <t>As H. cylindracea</t>
  </si>
  <si>
    <t>As H. incrassata</t>
  </si>
  <si>
    <t>Florida Keys (back-reef) - Vroom et al. (2003) Hydrobiologia 501: 149-166</t>
  </si>
  <si>
    <t>Florida Keys (deep slope) - Vroom et al. (2003) Hydrobiologia 501: 149-166</t>
  </si>
  <si>
    <t>PENICILLUS</t>
  </si>
  <si>
    <t>COPY IN RELEVANT PROPORTIONAL BREAKDOWN DATA FROM "PENICILLUS METRICS" SHEET</t>
  </si>
  <si>
    <r>
      <t>CaCO</t>
    </r>
    <r>
      <rPr>
        <b/>
        <vertAlign val="subscript"/>
        <sz val="11"/>
        <color theme="1"/>
        <rFont val="Arial Narrow"/>
        <family val="2"/>
      </rPr>
      <t>3</t>
    </r>
    <r>
      <rPr>
        <b/>
        <sz val="11"/>
        <color theme="1"/>
        <rFont val="Arial Narrow"/>
        <family val="2"/>
      </rPr>
      <t xml:space="preserve"> (g) v volume relationship</t>
    </r>
  </si>
  <si>
    <t>Notes on source</t>
  </si>
  <si>
    <t>Penicillus</t>
  </si>
  <si>
    <t>height s (mm)</t>
  </si>
  <si>
    <t>Radius stem (mm)</t>
  </si>
  <si>
    <r>
      <t>Volume of stem cylinder (cm</t>
    </r>
    <r>
      <rPr>
        <b/>
        <vertAlign val="superscript"/>
        <sz val="11"/>
        <color theme="1"/>
        <rFont val="Arial Narrow"/>
        <family val="2"/>
      </rPr>
      <t>3</t>
    </r>
    <r>
      <rPr>
        <b/>
        <sz val="11"/>
        <color theme="1"/>
        <rFont val="Arial Narrow"/>
        <family val="2"/>
      </rPr>
      <t>)</t>
    </r>
  </si>
  <si>
    <r>
      <t>Volume of cone (cm</t>
    </r>
    <r>
      <rPr>
        <b/>
        <vertAlign val="superscript"/>
        <sz val="11"/>
        <color theme="1"/>
        <rFont val="Arial Narrow"/>
        <family val="2"/>
      </rPr>
      <t>3</t>
    </r>
    <r>
      <rPr>
        <b/>
        <sz val="11"/>
        <color theme="1"/>
        <rFont val="Arial Narrow"/>
        <family val="2"/>
      </rPr>
      <t>)</t>
    </r>
  </si>
  <si>
    <r>
      <t>CaCO</t>
    </r>
    <r>
      <rPr>
        <b/>
        <vertAlign val="subscript"/>
        <sz val="11"/>
        <color theme="1"/>
        <rFont val="Arial Narrow"/>
        <family val="2"/>
      </rPr>
      <t xml:space="preserve">3 </t>
    </r>
    <r>
      <rPr>
        <b/>
        <sz val="11"/>
        <color theme="1"/>
        <rFont val="Arial Narrow"/>
        <family val="2"/>
      </rPr>
      <t>(g) v volume relationship</t>
    </r>
  </si>
  <si>
    <t>Penicillus species and published metrics</t>
  </si>
  <si>
    <t xml:space="preserve">Basic description </t>
  </si>
  <si>
    <t xml:space="preserve">Possible substitutes for rates </t>
  </si>
  <si>
    <t>Penicillus arbuscula</t>
  </si>
  <si>
    <t>Stem with brush-like head</t>
  </si>
  <si>
    <r>
      <t xml:space="preserve">Synonym of </t>
    </r>
    <r>
      <rPr>
        <i/>
        <sz val="11"/>
        <color theme="1"/>
        <rFont val="Arial Narrow"/>
        <family val="2"/>
      </rPr>
      <t xml:space="preserve">Penicillus nodulosus </t>
    </r>
  </si>
  <si>
    <r>
      <t xml:space="preserve">see </t>
    </r>
    <r>
      <rPr>
        <i/>
        <sz val="11"/>
        <color theme="1"/>
        <rFont val="Arial Narrow"/>
        <family val="2"/>
      </rPr>
      <t xml:space="preserve">Penicillus nodulosus </t>
    </r>
  </si>
  <si>
    <t>Penicillus capitatus</t>
  </si>
  <si>
    <t>Penicillus clavatus</t>
  </si>
  <si>
    <r>
      <t xml:space="preserve">Synonym of </t>
    </r>
    <r>
      <rPr>
        <i/>
        <sz val="11"/>
        <color theme="1"/>
        <rFont val="Arial Narrow"/>
        <family val="2"/>
      </rPr>
      <t>Penicillus dumetosus</t>
    </r>
  </si>
  <si>
    <r>
      <t xml:space="preserve">see </t>
    </r>
    <r>
      <rPr>
        <i/>
        <sz val="11"/>
        <color theme="1"/>
        <rFont val="Arial Narrow"/>
        <family val="2"/>
      </rPr>
      <t>Penicillus dumetosus</t>
    </r>
  </si>
  <si>
    <t>Penicillus comosus</t>
  </si>
  <si>
    <t>Penicillus dumetosus</t>
  </si>
  <si>
    <t>Penicillus elongatus</t>
  </si>
  <si>
    <r>
      <t xml:space="preserve">Synonym of </t>
    </r>
    <r>
      <rPr>
        <i/>
        <sz val="11"/>
        <color theme="1"/>
        <rFont val="Arial Narrow"/>
        <family val="2"/>
      </rPr>
      <t>Penicillus capitatu</t>
    </r>
    <r>
      <rPr>
        <sz val="11"/>
        <color theme="1"/>
        <rFont val="Arial Narrow"/>
        <family val="2"/>
      </rPr>
      <t>s</t>
    </r>
  </si>
  <si>
    <r>
      <t xml:space="preserve">see </t>
    </r>
    <r>
      <rPr>
        <i/>
        <sz val="11"/>
        <color theme="1"/>
        <rFont val="Arial Narrow"/>
        <family val="2"/>
      </rPr>
      <t>Penicillus capitatus</t>
    </r>
  </si>
  <si>
    <t>Penicillus lamourouxii</t>
  </si>
  <si>
    <t>Penicillus longiarticulatus</t>
  </si>
  <si>
    <t>Penicillus manaarensis</t>
  </si>
  <si>
    <t>Penicillus nodulosus</t>
  </si>
  <si>
    <t>Penicillus pyramidalis </t>
  </si>
  <si>
    <t>Penicillus pyriformis</t>
  </si>
  <si>
    <t>Penicillus sibogae</t>
  </si>
  <si>
    <t>Penicillus eriophorus</t>
  </si>
  <si>
    <t>Penicillus granulosus</t>
  </si>
  <si>
    <t>Penicillus mediterraneus</t>
  </si>
  <si>
    <t>NOTE: where specific metrics cannot be collected locally and appropriate data has not yet been published we would recommend using an average of existing data grouped by growth form.</t>
  </si>
  <si>
    <t>CaCO3 (g) v volume relationship</t>
  </si>
  <si>
    <t>4 (Life span 51.2 days)  NB. 7 month growing season only</t>
  </si>
  <si>
    <t>Bahamas - Neumann &amp; Land (1975) J. Sed. Petrology 45: 763-786</t>
  </si>
  <si>
    <t xml:space="preserve">5.4  (Life span 68 ± 28 days) </t>
  </si>
  <si>
    <t>Florida (lagoon) - Bach (1979) Bull. Marine Science 29: 191-201</t>
  </si>
  <si>
    <t>9.5 (life span ~40 days)</t>
  </si>
  <si>
    <t xml:space="preserve">Florida (inner reef) - Stockman et al. (1967) J. Sedimentary Petrology 37: 633-648 </t>
  </si>
  <si>
    <t>6.0 (life span 60 days)</t>
  </si>
  <si>
    <t xml:space="preserve">Florida (lagoon) - Stockman et al. (1967) J. Sedimentary Petrology 37: 633-648 </t>
  </si>
  <si>
    <t>9 (based on data from literature)</t>
  </si>
  <si>
    <t>Bahamas (lagoon) - Neumann &amp; Land (1975) J. Sed. Petrology 45: 763-786</t>
  </si>
  <si>
    <t>y = 0.0673x</t>
  </si>
  <si>
    <t>y = 0.0893x</t>
  </si>
  <si>
    <t>UDOTEA</t>
  </si>
  <si>
    <t>Growth form</t>
  </si>
  <si>
    <t>Vase-shaped</t>
  </si>
  <si>
    <t>Fan-shaped</t>
  </si>
  <si>
    <t xml:space="preserve">Note that for multi-head fan-shaped species the best approach may be to measure and add together each of the fan heads on the plant  </t>
  </si>
  <si>
    <t>Udotea species and published metrics</t>
  </si>
  <si>
    <t>Udotea abbottiorum</t>
  </si>
  <si>
    <t xml:space="preserve">Littler, D.S. &amp; Littler, M.M. (1990). </t>
  </si>
  <si>
    <r>
      <t xml:space="preserve">Littler, D.S. &amp; Littler, M.M. (1990). Systematics of </t>
    </r>
    <r>
      <rPr>
        <i/>
        <sz val="11"/>
        <rFont val="Arial Narrow"/>
        <family val="2"/>
      </rPr>
      <t>Udotea</t>
    </r>
    <r>
      <rPr>
        <sz val="11"/>
        <rFont val="Arial Narrow"/>
        <family val="2"/>
      </rPr>
      <t xml:space="preserve"> species (Bryopsidales, Chlorophyta) in the tropical western Atlantic. </t>
    </r>
    <r>
      <rPr>
        <i/>
        <sz val="11"/>
        <rFont val="Arial Narrow"/>
        <family val="2"/>
      </rPr>
      <t>Phycologia</t>
    </r>
    <r>
      <rPr>
        <sz val="11"/>
        <rFont val="Arial Narrow"/>
        <family val="2"/>
      </rPr>
      <t xml:space="preserve"> 29(2): 206-252.</t>
    </r>
  </si>
  <si>
    <t>Udotea caribaea</t>
  </si>
  <si>
    <t>Udotea conglutinata</t>
  </si>
  <si>
    <t>Udotea cyathiformis</t>
  </si>
  <si>
    <t>Udotea dixonii</t>
  </si>
  <si>
    <t>Multiple fans</t>
  </si>
  <si>
    <t>Udotea dotyi</t>
  </si>
  <si>
    <t xml:space="preserve">Udotea explanata </t>
  </si>
  <si>
    <t>Gepp &amp; E.S.Gepp (1911)</t>
  </si>
  <si>
    <r>
      <t>Yamada, Y. (1930). Une nouvelle espèce d'</t>
    </r>
    <r>
      <rPr>
        <i/>
        <sz val="11"/>
        <rFont val="Arial Narrow"/>
        <family val="2"/>
      </rPr>
      <t>Udotea</t>
    </r>
    <r>
      <rPr>
        <sz val="11"/>
        <rFont val="Arial Narrow"/>
        <family val="2"/>
      </rPr>
      <t xml:space="preserve"> du Pacifique: </t>
    </r>
    <r>
      <rPr>
        <i/>
        <sz val="11"/>
        <rFont val="Arial Narrow"/>
        <family val="2"/>
      </rPr>
      <t xml:space="preserve">Udotea geppii </t>
    </r>
    <r>
      <rPr>
        <sz val="11"/>
        <rFont val="Arial Narrow"/>
        <family val="2"/>
      </rPr>
      <t>sp. nov. Revue Algologique 5: 139-142</t>
    </r>
  </si>
  <si>
    <t xml:space="preserve">Udotea fibrosa </t>
  </si>
  <si>
    <t>Lobed fan-shaped</t>
  </si>
  <si>
    <t xml:space="preserve">Udotea flabellata </t>
  </si>
  <si>
    <r>
      <t xml:space="preserve">Synonym of </t>
    </r>
    <r>
      <rPr>
        <i/>
        <sz val="11"/>
        <rFont val="Arial Narrow"/>
        <family val="2"/>
      </rPr>
      <t>Udotea flabellum</t>
    </r>
  </si>
  <si>
    <r>
      <t xml:space="preserve">See </t>
    </r>
    <r>
      <rPr>
        <i/>
        <sz val="11"/>
        <rFont val="Arial Narrow"/>
        <family val="2"/>
      </rPr>
      <t>Udotea flabellum</t>
    </r>
  </si>
  <si>
    <t>Udotea flabellum</t>
  </si>
  <si>
    <t xml:space="preserve">Udotea fragilifolia </t>
  </si>
  <si>
    <t>SE Asia</t>
  </si>
  <si>
    <t>?</t>
  </si>
  <si>
    <t>Tseng, C.K. &amp; Dong, M.L. (1975)</t>
  </si>
  <si>
    <r>
      <t xml:space="preserve">Tseng, C.K. &amp; Dong, M.L. (1975). Some new species of </t>
    </r>
    <r>
      <rPr>
        <i/>
        <sz val="11"/>
        <rFont val="Arial Narrow"/>
        <family val="2"/>
      </rPr>
      <t>Udotea</t>
    </r>
    <r>
      <rPr>
        <sz val="11"/>
        <rFont val="Arial Narrow"/>
        <family val="2"/>
      </rPr>
      <t xml:space="preserve"> from the Xisha Islands, Guangdong Province, China. </t>
    </r>
    <r>
      <rPr>
        <i/>
        <sz val="11"/>
        <rFont val="Arial Narrow"/>
        <family val="2"/>
      </rPr>
      <t>Studia Marina Sinica</t>
    </r>
    <r>
      <rPr>
        <sz val="11"/>
        <rFont val="Arial Narrow"/>
        <family val="2"/>
      </rPr>
      <t xml:space="preserve"> 10: 1-19</t>
    </r>
  </si>
  <si>
    <t>Udotea geppiorum</t>
  </si>
  <si>
    <t>Yamada, Y. (1930)</t>
  </si>
  <si>
    <t xml:space="preserve">Udotea glaucescens </t>
  </si>
  <si>
    <t>Agardh, J.G. (1887)</t>
  </si>
  <si>
    <t>Agardh, J.G. (1887). Till algernes systematik. Nya bidrag. (Femte afdelningen.). Acta Universitatis Lundensis 23(2): 1-174</t>
  </si>
  <si>
    <t xml:space="preserve">Udotea goreaui </t>
  </si>
  <si>
    <t xml:space="preserve">Udotea halimeda </t>
  </si>
  <si>
    <t>Australia/NZ</t>
  </si>
  <si>
    <t>Kützing, F.T. (1849)</t>
  </si>
  <si>
    <t>Kützing, F.T. (1849). Species algarum. pp. [i]-vi, [1]-922. Lipsiae [Leipzig]: F.A. Brockhaus</t>
  </si>
  <si>
    <t xml:space="preserve">Udotea indica </t>
  </si>
  <si>
    <t>Thin, branched blades</t>
  </si>
  <si>
    <t xml:space="preserve">Udotea infundibulum </t>
  </si>
  <si>
    <r>
      <t xml:space="preserve">Synonym of </t>
    </r>
    <r>
      <rPr>
        <i/>
        <sz val="11"/>
        <rFont val="Arial Narrow"/>
        <family val="2"/>
      </rPr>
      <t>Udotea cyathiformis</t>
    </r>
  </si>
  <si>
    <r>
      <t xml:space="preserve">See </t>
    </r>
    <r>
      <rPr>
        <i/>
        <sz val="11"/>
        <rFont val="Arial Narrow"/>
        <family val="2"/>
      </rPr>
      <t>Udotea cyathiformis</t>
    </r>
  </si>
  <si>
    <t xml:space="preserve">Udotea kuetzingii </t>
  </si>
  <si>
    <t>Arabian Sea</t>
  </si>
  <si>
    <t>De Toni 1889</t>
  </si>
  <si>
    <t xml:space="preserve">Udotea lacinulata </t>
  </si>
  <si>
    <t>No info</t>
  </si>
  <si>
    <t xml:space="preserve">Udotea looensis </t>
  </si>
  <si>
    <t xml:space="preserve">Udotea luna </t>
  </si>
  <si>
    <t xml:space="preserve">Udotea norrisii </t>
  </si>
  <si>
    <t xml:space="preserve">Udotea occidentalis </t>
  </si>
  <si>
    <t>Clumped fans</t>
  </si>
  <si>
    <t xml:space="preserve">Udotea orientalis </t>
  </si>
  <si>
    <t>Gepp, A. &amp; Gepp, E.S. (1911)</t>
  </si>
  <si>
    <t>Gepp, A. &amp; Gepp, E.S. (1911). The Codiaceae of the Siboga Expedition including a monograph of Flabellarieae and Udoteae Siboga-Expeditie Monographie LXII. pp. 1-150, 22 pls. Leiden: E.J. Brill.</t>
  </si>
  <si>
    <t xml:space="preserve">Udotea palmetta </t>
  </si>
  <si>
    <t>Decaisne, J. (1842)</t>
  </si>
  <si>
    <t>Decaisne, J. (1842). Mémoire sur les corallines ou polypiers calcifères [la seconde partie du "Essais sur une classification des algues et des polypiers calcifères de Lamourous"]. Annales des Sciences Naturelles, Botanique, Seconde Série 18: 96-128</t>
  </si>
  <si>
    <t xml:space="preserve">Udotea papillosa </t>
  </si>
  <si>
    <t xml:space="preserve">Udotea polychotomis </t>
  </si>
  <si>
    <t>Cordero, P.A., Jr. (1975)</t>
  </si>
  <si>
    <r>
      <t xml:space="preserve">Cordero, P.A., Jr. (1975). </t>
    </r>
    <r>
      <rPr>
        <i/>
        <sz val="11"/>
        <rFont val="Arial Narrow"/>
        <family val="2"/>
      </rPr>
      <t>Udotea polychotomis</t>
    </r>
    <r>
      <rPr>
        <sz val="11"/>
        <rFont val="Arial Narrow"/>
        <family val="2"/>
      </rPr>
      <t>, a new species of Chlorophyta from the Caroline Islands. Micronesica 10: 243-249</t>
    </r>
  </si>
  <si>
    <t xml:space="preserve">Udotea reniformis </t>
  </si>
  <si>
    <r>
      <t xml:space="preserve">Tseng, C.K. &amp; Dong, M.L. (1975). Some new species of </t>
    </r>
    <r>
      <rPr>
        <i/>
        <sz val="11"/>
        <rFont val="Arial Narrow"/>
        <family val="2"/>
      </rPr>
      <t>Udotea</t>
    </r>
    <r>
      <rPr>
        <sz val="11"/>
        <rFont val="Arial Narrow"/>
        <family val="2"/>
      </rPr>
      <t xml:space="preserve"> from the Xisha Islands, Guangdong Province, China. </t>
    </r>
    <r>
      <rPr>
        <i/>
        <sz val="11"/>
        <rFont val="Arial Narrow"/>
        <family val="2"/>
      </rPr>
      <t>Studia Marina Sinica</t>
    </r>
    <r>
      <rPr>
        <sz val="11"/>
        <rFont val="Arial Narrow"/>
        <family val="2"/>
      </rPr>
      <t xml:space="preserve"> 10: 1-19, pls I, II</t>
    </r>
  </si>
  <si>
    <t>Udotea spinulosa</t>
  </si>
  <si>
    <t xml:space="preserve">Udotea sublittoralis </t>
  </si>
  <si>
    <t xml:space="preserve">Udotea tenax </t>
  </si>
  <si>
    <t xml:space="preserve">Udotea tenuifolia </t>
  </si>
  <si>
    <t xml:space="preserve">Udotea unistratea </t>
  </si>
  <si>
    <t xml:space="preserve">Udotea velutina </t>
  </si>
  <si>
    <t xml:space="preserve">Udotea verticillosa </t>
  </si>
  <si>
    <t>Gepp, A. &amp; Gepp, E.S. (1909)</t>
  </si>
  <si>
    <t>Gepp, A. &amp; Gepp, E.S. (1909). A new siphonaceous alga. Journal of Botany, British and Foreign 47: 268-269</t>
  </si>
  <si>
    <t xml:space="preserve">Udotea wilsonii </t>
  </si>
  <si>
    <t>Complex, multiple fans</t>
  </si>
  <si>
    <t xml:space="preserve">Udotea xishaensis </t>
  </si>
  <si>
    <t xml:space="preserve">Udotea yamadae </t>
  </si>
  <si>
    <t>Tanaka, T. &amp; Itono, H. (1977)</t>
  </si>
  <si>
    <r>
      <t xml:space="preserve">Tanaka, T. &amp; Itono, H. (1977). On two new species of Chlorophyta from southern parts of Japan. </t>
    </r>
    <r>
      <rPr>
        <i/>
        <sz val="11"/>
        <rFont val="Arial Narrow"/>
        <family val="2"/>
      </rPr>
      <t>Bulletin of the Japanese Society for Phycology</t>
    </r>
    <r>
      <rPr>
        <sz val="11"/>
        <rFont val="Arial Narrow"/>
        <family val="2"/>
      </rPr>
      <t xml:space="preserve"> 25(Suppl.): 347-352</t>
    </r>
  </si>
  <si>
    <t>Udotea ciliata</t>
  </si>
  <si>
    <t xml:space="preserve">Udotea flabelliformis </t>
  </si>
  <si>
    <t xml:space="preserve">Udotea fontanesii </t>
  </si>
  <si>
    <t xml:space="preserve">Udotea lacerata </t>
  </si>
  <si>
    <t xml:space="preserve">Udotea suborbiculata </t>
  </si>
  <si>
    <t xml:space="preserve">Udotea tomentosa </t>
  </si>
  <si>
    <t>y = 0.0335x</t>
  </si>
  <si>
    <t xml:space="preserve">4.2  (Life span 87 ± 12 days) </t>
  </si>
  <si>
    <t>Florida (lagoon) Bach (1979) Bull. Mar Sci 29: 191-201</t>
  </si>
  <si>
    <t>9.5 - inferred as same family as Pencillus</t>
  </si>
  <si>
    <t xml:space="preserve">Florida (reef tract) Stockman et al. (1967) J. Sed Petrol 37: 633-648 </t>
  </si>
  <si>
    <t>6.0 - inferred as same family as Pencillus</t>
  </si>
  <si>
    <t>Florida (lagoon) Stockman et al. (1967) J. Sed Petrol 37: 633-649</t>
  </si>
  <si>
    <t>y = 0.262x</t>
  </si>
  <si>
    <t>RHIPOCEPHALUS</t>
  </si>
  <si>
    <t>COPY IN RELEVANT PROPORTIONAL BREAKDOWN DATA FROM "RHIPOCEPHALUS METRICS" SHEET</t>
  </si>
  <si>
    <t>Rhipocephalus</t>
  </si>
  <si>
    <t>Mean production rate (kg m-2 yr-1)</t>
  </si>
  <si>
    <r>
      <t>TOTAL production rates (kg m</t>
    </r>
    <r>
      <rPr>
        <b/>
        <vertAlign val="superscript"/>
        <sz val="12"/>
        <color theme="1"/>
        <rFont val="Arial Narrow"/>
        <family val="2"/>
      </rPr>
      <t>-2</t>
    </r>
    <r>
      <rPr>
        <b/>
        <sz val="12"/>
        <color theme="1"/>
        <rFont val="Arial Narrow"/>
        <family val="2"/>
      </rPr>
      <t xml:space="preserve"> yr</t>
    </r>
    <r>
      <rPr>
        <b/>
        <vertAlign val="superscript"/>
        <sz val="12"/>
        <color theme="1"/>
        <rFont val="Arial Narrow"/>
        <family val="2"/>
      </rPr>
      <t>-1</t>
    </r>
    <r>
      <rPr>
        <b/>
        <sz val="12"/>
        <color theme="1"/>
        <rFont val="Arial Narrow"/>
        <family val="2"/>
      </rPr>
      <t>) by grain size fractions</t>
    </r>
  </si>
  <si>
    <t>Rhipocephalus species and published metrics</t>
  </si>
  <si>
    <t>Rhipocephalus phoenix</t>
  </si>
  <si>
    <t>Rhipocephalus phoenix f. brevifolius</t>
  </si>
  <si>
    <t xml:space="preserve">Rhipocephalus phoenix f. longifolius </t>
  </si>
  <si>
    <t xml:space="preserve">7.3  (Life span 50 ± 25 days) </t>
  </si>
  <si>
    <t>Bach (1979) Bull. Marine Science 29: 191-201</t>
  </si>
  <si>
    <t xml:space="preserve">Stockman et al. (1967) J. Sedimentary Petrology 37: 633-648 </t>
  </si>
  <si>
    <t>ACETABULARIA</t>
  </si>
  <si>
    <t>Number quadrats</t>
  </si>
  <si>
    <t>Crops/yr</t>
  </si>
  <si>
    <t>Acetabularia</t>
  </si>
  <si>
    <t>Proportions of sediment grain size fractions produced from epiphyte breakdown - relative proportional abundances</t>
  </si>
  <si>
    <t>Measured (or selected from literature) proportional grain-size data</t>
  </si>
  <si>
    <t>Mean/quadrat</t>
  </si>
  <si>
    <t>2. Calculated production rate</t>
  </si>
  <si>
    <t xml:space="preserve">Species </t>
  </si>
  <si>
    <r>
      <t>kg CaCO</t>
    </r>
    <r>
      <rPr>
        <b/>
        <vertAlign val="subscript"/>
        <sz val="11"/>
        <color theme="1"/>
        <rFont val="Arial Narrow"/>
        <family val="2"/>
      </rPr>
      <t>3</t>
    </r>
    <r>
      <rPr>
        <b/>
        <sz val="11"/>
        <color theme="1"/>
        <rFont val="Arial Narrow"/>
        <family val="2"/>
      </rPr>
      <t xml:space="preserve">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</si>
  <si>
    <t>3. Sediment production rates (kg m-2 yr-1) by grain size fractions</t>
  </si>
  <si>
    <t>Acetabularia species (tropical and sub-tropical only) and published metrics - these species appear to calcify</t>
  </si>
  <si>
    <t>Acetabularia caliculus</t>
  </si>
  <si>
    <t>See AlgalBase:  M.D. Guiry in Guiry, M.D. &amp; Guiry, G.M. 10 March 2023. AlgaeBase. World-wide electronic publication, National University of Ireland, Galway. https://www.algaebase.org; searched on 14 August 2023</t>
  </si>
  <si>
    <t>Acetabularia crenulata</t>
  </si>
  <si>
    <t>See AlgalBase:  M.D. Guiry in Guiry, M.D. &amp; Guiry, G.M. 10 March 2023. AlgaeBase. World-wide electronic publication, National University of Ireland, Galway. https://www.algaebase.org; searched on 14 August 2026</t>
  </si>
  <si>
    <t>Acetabularia dentata</t>
  </si>
  <si>
    <t>See AlgalBase:  M.D. Guiry in Guiry, M.D. &amp; Guiry, G.M. 10 March 2023. AlgaeBase. World-wide electronic publication, National University of Ireland, Galway. https://www.algaebase.org; searched on 14 August 2027</t>
  </si>
  <si>
    <t>Acetabularia major</t>
  </si>
  <si>
    <t>See AlgalBase:  M.D. Guiry in Guiry, M.D. &amp; Guiry, G.M. 10 March 2023. AlgaeBase. World-wide electronic publication, National University of Ireland, Galway. https://www.algaebase.org; searched on 14 August 2028</t>
  </si>
  <si>
    <t>Given no known data suggest to use mean of other green algal species in location/region</t>
  </si>
  <si>
    <t>BIVALVES</t>
  </si>
  <si>
    <t>1. DATA ENTRY - number of bivalves in quadrat</t>
  </si>
  <si>
    <t>ENTER 0 IF NONE PRESENT</t>
  </si>
  <si>
    <t>Standing crop (number bivalves/ quadrat)</t>
  </si>
  <si>
    <t>AVERAGE</t>
  </si>
  <si>
    <t>Standing crop (bivalves/sq m)</t>
  </si>
  <si>
    <t>2. Sediment production rate</t>
  </si>
  <si>
    <r>
      <t>Average carbonate production rate/ind (kg CaCO</t>
    </r>
    <r>
      <rPr>
        <b/>
        <vertAlign val="subscript"/>
        <sz val="11"/>
        <color theme="1"/>
        <rFont val="Arial Narrow"/>
        <family val="2"/>
      </rPr>
      <t>3</t>
    </r>
    <r>
      <rPr>
        <b/>
        <sz val="11"/>
        <color theme="1"/>
        <rFont val="Arial Narrow"/>
        <family val="2"/>
      </rPr>
      <t xml:space="preserve"> yr</t>
    </r>
    <r>
      <rPr>
        <b/>
        <vertAlign val="superscript"/>
        <sz val="11"/>
        <color theme="1"/>
        <rFont val="Arial Narrow"/>
        <family val="2"/>
      </rPr>
      <t>-1</t>
    </r>
    <r>
      <rPr>
        <b/>
        <sz val="11"/>
        <color theme="1"/>
        <rFont val="Arial Narrow"/>
        <family val="2"/>
      </rPr>
      <t>)</t>
    </r>
  </si>
  <si>
    <r>
      <t>Mean production rate (kg CaCO</t>
    </r>
    <r>
      <rPr>
        <b/>
        <vertAlign val="subscript"/>
        <sz val="11"/>
        <color theme="1"/>
        <rFont val="Arial Narrow"/>
        <family val="2"/>
      </rPr>
      <t>3</t>
    </r>
    <r>
      <rPr>
        <b/>
        <sz val="11"/>
        <color theme="1"/>
        <rFont val="Arial Narrow"/>
        <family val="2"/>
      </rPr>
      <t xml:space="preserve">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t>
    </r>
  </si>
  <si>
    <t>An alternative would be to use genera specific rates (where available - see below)</t>
  </si>
  <si>
    <t>3. Proportions of sediment grain size fractions produced</t>
  </si>
  <si>
    <t>ENTER # IN EACH SIZE FRACTION</t>
  </si>
  <si>
    <t xml:space="preserve">Assumed no shells in these size class fractions </t>
  </si>
  <si>
    <t>Site/habitat</t>
  </si>
  <si>
    <t>Total number of shells counted with size fraction</t>
  </si>
  <si>
    <t>Proportion of shells within size class</t>
  </si>
  <si>
    <t>4. Sediment production rate by grain size class</t>
  </si>
  <si>
    <r>
      <t>Production rate (kg CaCO</t>
    </r>
    <r>
      <rPr>
        <b/>
        <vertAlign val="subscript"/>
        <sz val="11"/>
        <color theme="1"/>
        <rFont val="Arial Narrow"/>
        <family val="2"/>
      </rPr>
      <t>3</t>
    </r>
    <r>
      <rPr>
        <b/>
        <sz val="11"/>
        <color theme="1"/>
        <rFont val="Arial Narrow"/>
        <family val="2"/>
      </rPr>
      <t xml:space="preserve"> / ind / yr) - from Bosence 1989</t>
    </r>
  </si>
  <si>
    <r>
      <t>Laevicardium mortoni</t>
    </r>
    <r>
      <rPr>
        <sz val="11"/>
        <color theme="1"/>
        <rFont val="Arial Narrow"/>
        <family val="2"/>
      </rPr>
      <t xml:space="preserve"> </t>
    </r>
  </si>
  <si>
    <r>
      <t>Chione cancellata</t>
    </r>
    <r>
      <rPr>
        <sz val="11"/>
        <color theme="1"/>
        <rFont val="Arial Narrow"/>
        <family val="2"/>
      </rPr>
      <t xml:space="preserve"> </t>
    </r>
  </si>
  <si>
    <r>
      <t>Codakia orbiculata</t>
    </r>
    <r>
      <rPr>
        <sz val="11"/>
        <color theme="1"/>
        <rFont val="Arial Narrow"/>
        <family val="2"/>
      </rPr>
      <t xml:space="preserve"> </t>
    </r>
  </si>
  <si>
    <t>GASTROPODS</t>
  </si>
  <si>
    <t>Standing crop (average number gastropods/quadrat)</t>
  </si>
  <si>
    <t>Standing crop (gastropods/sq m)</t>
  </si>
  <si>
    <r>
      <t>Average growth rate/ind (kg CaCO</t>
    </r>
    <r>
      <rPr>
        <b/>
        <vertAlign val="subscript"/>
        <sz val="11"/>
        <color theme="1"/>
        <rFont val="Arial Narrow"/>
        <family val="2"/>
      </rPr>
      <t>3</t>
    </r>
    <r>
      <rPr>
        <b/>
        <sz val="11"/>
        <color theme="1"/>
        <rFont val="Arial Narrow"/>
        <family val="2"/>
      </rPr>
      <t xml:space="preserve"> yr</t>
    </r>
    <r>
      <rPr>
        <b/>
        <vertAlign val="superscript"/>
        <sz val="11"/>
        <color theme="1"/>
        <rFont val="Arial Narrow"/>
        <family val="2"/>
      </rPr>
      <t>-1</t>
    </r>
    <r>
      <rPr>
        <b/>
        <sz val="11"/>
        <color theme="1"/>
        <rFont val="Arial Narrow"/>
        <family val="2"/>
      </rPr>
      <t>)</t>
    </r>
  </si>
  <si>
    <t>Currently use an average rate of 0.00022 kg/ind/yr (see Table 1 below, based on data from Florida Bay, Bosence 1989)</t>
  </si>
  <si>
    <t>4. Sediment production rates by grain size fractions</t>
  </si>
  <si>
    <t>Table 1 - Rates of gastropod production (individual/yr)</t>
  </si>
  <si>
    <t>Bulla sp</t>
  </si>
  <si>
    <r>
      <t>Modulus modulus</t>
    </r>
    <r>
      <rPr>
        <sz val="11"/>
        <color theme="1"/>
        <rFont val="Arial Narrow"/>
        <family val="2"/>
      </rPr>
      <t xml:space="preserve"> </t>
    </r>
  </si>
  <si>
    <t>Cerithium muscarum</t>
  </si>
  <si>
    <t>Ceritheum eburnium</t>
  </si>
  <si>
    <r>
      <t>Turbo castaneus</t>
    </r>
    <r>
      <rPr>
        <sz val="11"/>
        <color theme="1"/>
        <rFont val="Arial Narrow"/>
        <family val="2"/>
      </rPr>
      <t xml:space="preserve"> </t>
    </r>
  </si>
  <si>
    <t>BENTHIC FORAMINIFERA</t>
  </si>
  <si>
    <t>Number of samples</t>
  </si>
  <si>
    <t>Productivity conversion factor</t>
  </si>
  <si>
    <t>* Productivity conversion factors (from Langer et al. 1997)</t>
  </si>
  <si>
    <r>
      <t>Foraminifera productivity conversion factor* (g m</t>
    </r>
    <r>
      <rPr>
        <vertAlign val="superscript"/>
        <sz val="11"/>
        <color theme="1"/>
        <rFont val="Arial Narrow"/>
        <family val="2"/>
      </rPr>
      <t>-2</t>
    </r>
    <r>
      <rPr>
        <sz val="11"/>
        <color theme="1"/>
        <rFont val="Arial Narrow"/>
        <family val="2"/>
      </rPr>
      <t xml:space="preserve"> yr</t>
    </r>
    <r>
      <rPr>
        <vertAlign val="superscript"/>
        <sz val="11"/>
        <color theme="1"/>
        <rFont val="Arial Narrow"/>
        <family val="2"/>
      </rPr>
      <t>-1</t>
    </r>
    <r>
      <rPr>
        <sz val="11"/>
        <color theme="1"/>
        <rFont val="Arial Narrow"/>
        <family val="2"/>
      </rPr>
      <t>)</t>
    </r>
  </si>
  <si>
    <r>
      <t xml:space="preserve">Reef and rubble habitats = </t>
    </r>
    <r>
      <rPr>
        <b/>
        <sz val="11"/>
        <color theme="1"/>
        <rFont val="Arial Narrow"/>
        <family val="2"/>
      </rPr>
      <t>6</t>
    </r>
    <r>
      <rPr>
        <sz val="11"/>
        <color theme="1"/>
        <rFont val="Arial Narrow"/>
        <family val="2"/>
      </rPr>
      <t xml:space="preserve"> (g m</t>
    </r>
    <r>
      <rPr>
        <vertAlign val="superscript"/>
        <sz val="11"/>
        <color theme="1"/>
        <rFont val="Arial Narrow"/>
        <family val="2"/>
      </rPr>
      <t>-2</t>
    </r>
    <r>
      <rPr>
        <sz val="11"/>
        <color theme="1"/>
        <rFont val="Arial Narrow"/>
        <family val="2"/>
      </rPr>
      <t xml:space="preserve"> yr</t>
    </r>
    <r>
      <rPr>
        <vertAlign val="superscript"/>
        <sz val="11"/>
        <color theme="1"/>
        <rFont val="Arial Narrow"/>
        <family val="2"/>
      </rPr>
      <t>-1</t>
    </r>
    <r>
      <rPr>
        <sz val="11"/>
        <color theme="1"/>
        <rFont val="Arial Narrow"/>
        <family val="2"/>
      </rPr>
      <t>)</t>
    </r>
  </si>
  <si>
    <r>
      <t xml:space="preserve">Lagoonal and sand-dominated habitats = </t>
    </r>
    <r>
      <rPr>
        <b/>
        <sz val="11"/>
        <color theme="1"/>
        <rFont val="Arial Narrow"/>
        <family val="2"/>
      </rPr>
      <t>1.2</t>
    </r>
    <r>
      <rPr>
        <sz val="11"/>
        <color theme="1"/>
        <rFont val="Arial Narrow"/>
        <family val="2"/>
      </rPr>
      <t xml:space="preserve"> (g m</t>
    </r>
    <r>
      <rPr>
        <vertAlign val="superscript"/>
        <sz val="11"/>
        <color theme="1"/>
        <rFont val="Arial Narrow"/>
        <family val="2"/>
      </rPr>
      <t>-2</t>
    </r>
    <r>
      <rPr>
        <sz val="11"/>
        <color theme="1"/>
        <rFont val="Arial Narrow"/>
        <family val="2"/>
      </rPr>
      <t xml:space="preserve"> yr</t>
    </r>
    <r>
      <rPr>
        <vertAlign val="superscript"/>
        <sz val="11"/>
        <color theme="1"/>
        <rFont val="Arial Narrow"/>
        <family val="2"/>
      </rPr>
      <t>-1</t>
    </r>
    <r>
      <rPr>
        <sz val="11"/>
        <color theme="1"/>
        <rFont val="Arial Narrow"/>
        <family val="2"/>
      </rPr>
      <t>)</t>
    </r>
  </si>
  <si>
    <t>1. DATA ENTRY - % abundance of foraminifera in sediments</t>
  </si>
  <si>
    <t>ADD DATA FROM SEDIMENT ANALYSIS</t>
  </si>
  <si>
    <t xml:space="preserve">Size fraction classes not analysed </t>
  </si>
  <si>
    <t xml:space="preserve">Weight (g) of sieved size class fraction </t>
  </si>
  <si>
    <t>No data</t>
  </si>
  <si>
    <t>Total weight (g) of sediment sample</t>
  </si>
  <si>
    <t>Proportional contribution of size class fraction to analysed sample weight</t>
  </si>
  <si>
    <t>Number of grains analysed from sieved size class fraction</t>
  </si>
  <si>
    <t>Number of Foraminifera per Taxon</t>
  </si>
  <si>
    <r>
      <t xml:space="preserve">A) Soritidae: </t>
    </r>
    <r>
      <rPr>
        <i/>
        <sz val="11"/>
        <color theme="1"/>
        <rFont val="Arial Narrow"/>
        <family val="2"/>
      </rPr>
      <t>Amphisorus, Marginopora, Parasorites, Sorites</t>
    </r>
  </si>
  <si>
    <r>
      <t>B) Alveolinidae:</t>
    </r>
    <r>
      <rPr>
        <i/>
        <sz val="11"/>
        <color theme="1"/>
        <rFont val="Arial Narrow"/>
        <family val="2"/>
      </rPr>
      <t xml:space="preserve"> Alveolinella, Borelis</t>
    </r>
  </si>
  <si>
    <r>
      <t xml:space="preserve">C) Peneroplidae: </t>
    </r>
    <r>
      <rPr>
        <i/>
        <sz val="11"/>
        <color theme="1"/>
        <rFont val="Arial Narrow"/>
        <family val="2"/>
      </rPr>
      <t>Peneroplis</t>
    </r>
  </si>
  <si>
    <r>
      <t xml:space="preserve">D) Amphistegenidae: </t>
    </r>
    <r>
      <rPr>
        <i/>
        <sz val="11"/>
        <color theme="1"/>
        <rFont val="Arial Narrow"/>
        <family val="2"/>
      </rPr>
      <t>Amphistegina</t>
    </r>
  </si>
  <si>
    <r>
      <t xml:space="preserve">E) Calcarinidae: </t>
    </r>
    <r>
      <rPr>
        <i/>
        <sz val="11"/>
        <color theme="1"/>
        <rFont val="Arial Narrow"/>
        <family val="2"/>
      </rPr>
      <t>Calcarina,</t>
    </r>
    <r>
      <rPr>
        <sz val="11"/>
        <color theme="1"/>
        <rFont val="Arial Narrow"/>
        <family val="2"/>
      </rPr>
      <t xml:space="preserve"> </t>
    </r>
    <r>
      <rPr>
        <i/>
        <sz val="11"/>
        <color theme="1"/>
        <rFont val="Arial Narrow"/>
        <family val="2"/>
      </rPr>
      <t>Neorotalia, Pararotalia</t>
    </r>
  </si>
  <si>
    <r>
      <t xml:space="preserve">F) Nummulitidae: </t>
    </r>
    <r>
      <rPr>
        <i/>
        <sz val="11"/>
        <color theme="1"/>
        <rFont val="Arial Narrow"/>
        <family val="2"/>
      </rPr>
      <t>Heterostegina, Nummulites, Operculina, Planostegina</t>
    </r>
  </si>
  <si>
    <r>
      <t xml:space="preserve">G) Homotrematidae: </t>
    </r>
    <r>
      <rPr>
        <i/>
        <sz val="11"/>
        <color theme="1"/>
        <rFont val="Arial Narrow"/>
        <family val="2"/>
      </rPr>
      <t>Homotrema, Miniacina</t>
    </r>
  </si>
  <si>
    <r>
      <t xml:space="preserve">other Miliolida (e.g. </t>
    </r>
    <r>
      <rPr>
        <i/>
        <sz val="11"/>
        <color theme="1"/>
        <rFont val="Arial Narrow"/>
        <family val="2"/>
      </rPr>
      <t>Cycloforina, Flintina, Miliolinella, Pyrgo, Quinqueloculina, Sahulina, Spiroloculina, Triloculina</t>
    </r>
    <r>
      <rPr>
        <sz val="11"/>
        <color theme="1"/>
        <rFont val="Arial Narrow"/>
        <family val="2"/>
      </rPr>
      <t>)</t>
    </r>
  </si>
  <si>
    <r>
      <t xml:space="preserve">other Rotaliida (e.g. </t>
    </r>
    <r>
      <rPr>
        <i/>
        <sz val="11"/>
        <color theme="1"/>
        <rFont val="Arial Narrow"/>
        <family val="2"/>
      </rPr>
      <t>Ammonia, Cancris, Cibicides, Cymbaloporetta, Elphidium, Eponides, Gypsina, Planorbulina, Rosalina, Rotorbis</t>
    </r>
    <r>
      <rPr>
        <sz val="11"/>
        <color theme="1"/>
        <rFont val="Arial Narrow"/>
        <family val="2"/>
      </rPr>
      <t>)</t>
    </r>
  </si>
  <si>
    <t>Other (OR all taxa)</t>
  </si>
  <si>
    <t>Number of foraminifera counted in sieved size class fraction sample</t>
  </si>
  <si>
    <t>Mean % contribution of foraminifera to sediment</t>
  </si>
  <si>
    <r>
      <t>Total foraminifera CaCO</t>
    </r>
    <r>
      <rPr>
        <b/>
        <vertAlign val="subscript"/>
        <sz val="11"/>
        <color theme="1"/>
        <rFont val="Arial Narrow"/>
        <family val="2"/>
      </rPr>
      <t>3</t>
    </r>
    <r>
      <rPr>
        <b/>
        <sz val="11"/>
        <color theme="1"/>
        <rFont val="Arial Narrow"/>
        <family val="2"/>
      </rPr>
      <t xml:space="preserve"> production (g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t>
    </r>
  </si>
  <si>
    <r>
      <t>2. Sediment production rates (kg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 by grain size fractions</t>
    </r>
  </si>
  <si>
    <t>SEAGRASS EPIPHYTES</t>
  </si>
  <si>
    <t>COPY IN RELEVANT DATA FROM "SEAGRASS METRICS" TAB OR USE LOCALLY COLLECTED DATA</t>
  </si>
  <si>
    <r>
      <t>Epibiont carbonate (g CaCO</t>
    </r>
    <r>
      <rPr>
        <b/>
        <vertAlign val="subscript"/>
        <sz val="11"/>
        <color theme="1"/>
        <rFont val="Arial Narrow"/>
        <family val="2"/>
      </rPr>
      <t>3</t>
    </r>
    <r>
      <rPr>
        <b/>
        <sz val="11"/>
        <color theme="1"/>
        <rFont val="Arial Narrow"/>
        <family val="2"/>
      </rPr>
      <t xml:space="preserve"> / blade)</t>
    </r>
  </si>
  <si>
    <t>COPY IN RELEVANT PROPORTIONAL BREAKDOWN DATA FROM "SEAGRASS METRICS" SHEET</t>
  </si>
  <si>
    <t>1. DATA ENTRY - blade density per quadrat</t>
  </si>
  <si>
    <t>MEAN</t>
  </si>
  <si>
    <r>
      <t>blades / m</t>
    </r>
    <r>
      <rPr>
        <b/>
        <vertAlign val="superscript"/>
        <sz val="11"/>
        <color theme="1"/>
        <rFont val="Arial Narrow"/>
        <family val="2"/>
      </rPr>
      <t>2</t>
    </r>
  </si>
  <si>
    <t>Seagrass species and published metrics</t>
  </si>
  <si>
    <t>PRODUCTION RATE/BLADE</t>
  </si>
  <si>
    <t>TURNOVER RATES</t>
  </si>
  <si>
    <t>Post-mortem grain size fraction contributions from epiphytes (PROPORTIONS NOT RELATIVE %)</t>
  </si>
  <si>
    <t>Location</t>
  </si>
  <si>
    <t>Setting</t>
  </si>
  <si>
    <r>
      <t>Epiphyte carbonate per blade (g CaCO</t>
    </r>
    <r>
      <rPr>
        <b/>
        <vertAlign val="subscript"/>
        <sz val="11"/>
        <color theme="1"/>
        <rFont val="Arial Narrow"/>
        <family val="2"/>
      </rPr>
      <t>3</t>
    </r>
    <r>
      <rPr>
        <b/>
        <sz val="11"/>
        <color theme="1"/>
        <rFont val="Arial Narrow"/>
        <family val="2"/>
      </rPr>
      <t>)</t>
    </r>
  </si>
  <si>
    <t>mean turnover (days)</t>
  </si>
  <si>
    <t>Amphibolis antarctica</t>
  </si>
  <si>
    <t xml:space="preserve">Australia, Rottnest Island </t>
  </si>
  <si>
    <t>Open coastal setting</t>
  </si>
  <si>
    <t>Walker &amp; Woelkerling (1988) Mar. Ecol. Prog. Ser 43: 71-77</t>
  </si>
  <si>
    <t>Thalassia epiphytes</t>
  </si>
  <si>
    <t>Cymodocea rotunda</t>
  </si>
  <si>
    <t xml:space="preserve">Philippines, Silaqui </t>
  </si>
  <si>
    <t>Clear water lagoon</t>
  </si>
  <si>
    <t>Gacia et al. (2003) Estuarine, Coastal, Shelf Sci 56: 909-919</t>
  </si>
  <si>
    <t>Cymodocea rotundata</t>
  </si>
  <si>
    <t>Kenya</t>
  </si>
  <si>
    <t>Uku and Björk (2005) Estuarine, Coastal and Shelf Science 63 (2005) 407–420</t>
  </si>
  <si>
    <t>Philippines, Pislatan</t>
  </si>
  <si>
    <t>Semi-turbid lagoon</t>
  </si>
  <si>
    <t>An average value based on data from Palau and the Indo-West Pacific</t>
  </si>
  <si>
    <t xml:space="preserve">Duarte 1991 Marine Ecol. Prog Series 77: 289-300 </t>
  </si>
  <si>
    <t>Philippines, Santa Barbara</t>
  </si>
  <si>
    <t>Turbid lagoon</t>
  </si>
  <si>
    <t>Orman Reef, NE Australia</t>
  </si>
  <si>
    <t>Rasheed et al. (2008). Cont. Shelf Research 28: 2292-2303</t>
  </si>
  <si>
    <t>~14</t>
  </si>
  <si>
    <t>Spermonde archipelago, South Sulawesi</t>
  </si>
  <si>
    <t xml:space="preserve">Vonk et al. (2015) Ecol. Indicators 57: 259-267 </t>
  </si>
  <si>
    <t>~25</t>
  </si>
  <si>
    <t>Cymodocea serrulata</t>
  </si>
  <si>
    <t>Philippines, Silaqui</t>
  </si>
  <si>
    <t>Philippines, Buenavista</t>
  </si>
  <si>
    <t>High energy + disturbed</t>
  </si>
  <si>
    <t>Halophila spp.</t>
  </si>
  <si>
    <t>~11</t>
  </si>
  <si>
    <t>Enhalus acoroides</t>
  </si>
  <si>
    <t>Halophila ovaris</t>
  </si>
  <si>
    <t>Global synthesis</t>
  </si>
  <si>
    <t>High energy</t>
  </si>
  <si>
    <t>Philippines, Umalagan</t>
  </si>
  <si>
    <t>high turbidity</t>
  </si>
  <si>
    <t xml:space="preserve">Vietnam, Dam Gia Bay </t>
  </si>
  <si>
    <t>Very low sediment influence</t>
  </si>
  <si>
    <t>Halodule uninevis</t>
  </si>
  <si>
    <t>~24</t>
  </si>
  <si>
    <t>Vietnam, My Giang I</t>
  </si>
  <si>
    <t>Recent heavy siltation</t>
  </si>
  <si>
    <t>Vietnam, My Giang II</t>
  </si>
  <si>
    <t>Syringodium isoetifolium</t>
  </si>
  <si>
    <t xml:space="preserve">Philippines, Buenavista </t>
  </si>
  <si>
    <t>Thalassia hemprichii</t>
  </si>
  <si>
    <t xml:space="preserve">Mozambique, Inhaca Island </t>
  </si>
  <si>
    <t>Open bay with strong tidal currents</t>
  </si>
  <si>
    <t>Perry &amp; Beavington-Penney (2005) Sed. Geol. 174: 161-176</t>
  </si>
  <si>
    <t xml:space="preserve">Papua New Guinea, Bootless Bay, </t>
  </si>
  <si>
    <t>Open coastal embayment</t>
  </si>
  <si>
    <t>Heijs (1984) Aquatic Botany 20: 195-218</t>
  </si>
  <si>
    <t>~29</t>
  </si>
  <si>
    <t xml:space="preserve">Vietnam, Bay Tien, </t>
  </si>
  <si>
    <t>Disturbed, high boat traffic</t>
  </si>
  <si>
    <t>Thalassia testudinum</t>
  </si>
  <si>
    <t>USA, Card Sound, Florida Bay</t>
  </si>
  <si>
    <t>Semi-restricted embayment</t>
  </si>
  <si>
    <t>Nelsen &amp; Ginsburg (1986) J. Sed. Pet 56: 622-628</t>
  </si>
  <si>
    <t>USA, Florida Bay</t>
  </si>
  <si>
    <t>Frankovitch &amp; Zieman (1994) Bulletin of Marine Sci 54: 679-695</t>
  </si>
  <si>
    <t xml:space="preserve">Barbados, Bath </t>
  </si>
  <si>
    <t>Open coast</t>
  </si>
  <si>
    <t>Patriquin (1972) J. Sed. Pet 42: 687-689</t>
  </si>
  <si>
    <t>Huvadhoo Atoll, Maldives</t>
  </si>
  <si>
    <t>Atoll interior reef</t>
  </si>
  <si>
    <t xml:space="preserve">East et al. (2023, in press) Communications Earth &amp; Environment </t>
  </si>
  <si>
    <t>Mexico</t>
  </si>
  <si>
    <t>Lagoon</t>
  </si>
  <si>
    <t xml:space="preserve">Enriquez-Schubert  Rodriguez et al. (2010) </t>
  </si>
  <si>
    <t>Thalassodendron ciliatum</t>
  </si>
  <si>
    <t>Bandeira (2002) Aquatic Botany 72: 13-24</t>
  </si>
  <si>
    <t>Bahamas, Cape Eleuthera</t>
  </si>
  <si>
    <t>Semi-restricted shelf - sparse density grass</t>
  </si>
  <si>
    <t>Perry (unpublished data)</t>
  </si>
  <si>
    <t>Kenya and Zanzibar Island</t>
  </si>
  <si>
    <t>Kamermans et al. (1998) Netherlands Institute of Ecology report</t>
  </si>
  <si>
    <t>Semi-restricted shelf - medium density grass</t>
  </si>
  <si>
    <t>Eastern Indonesia</t>
  </si>
  <si>
    <t>Brouns (1985) STRUCTURAL AND FUNCTIONAL ASPECTS
OF SEAGRASS COMMUNITIES
AND ASSOCIATED ALGAE
FROM THE TROPICAL WEST-PACIFIC</t>
  </si>
  <si>
    <t>Semi-restricted shelf - high density grass</t>
  </si>
  <si>
    <t>Torres Strait</t>
  </si>
  <si>
    <t xml:space="preserve">Johnstone (1984) CSIRO report </t>
  </si>
  <si>
    <t>Papua New Guinea</t>
  </si>
  <si>
    <t>Perry &amp; Beavington-Penney (2005) Sed. Geol. 174: 161-177</t>
  </si>
  <si>
    <t>Dead coral w/ turf</t>
  </si>
  <si>
    <t>Dead coral w/ macroalgae</t>
  </si>
  <si>
    <t>Rugosity</t>
  </si>
  <si>
    <t>Halimeda</t>
  </si>
  <si>
    <t>Udotea</t>
  </si>
  <si>
    <t>Bivalves</t>
  </si>
  <si>
    <t>Gastropods</t>
  </si>
  <si>
    <t>Echinometra 0-20 mm test</t>
  </si>
  <si>
    <t>Echinometra 21-40 mm test</t>
  </si>
  <si>
    <t>Echinometra 41-60 mm test</t>
  </si>
  <si>
    <t>Eucidaris tribuloides 0-20 mm test</t>
  </si>
  <si>
    <t>Eucidaris tribuloides 21-40 mm test</t>
  </si>
  <si>
    <t>Eucidaris tribuloides 41-60 mm test</t>
  </si>
  <si>
    <t>Diadema antillarum 0-20mm test</t>
  </si>
  <si>
    <t>Diadema antillarum 21-40 mm test</t>
  </si>
  <si>
    <t>Diadema antillarum 41-60 mm test</t>
  </si>
  <si>
    <t>Diadema antillarum 61-80 mm test</t>
  </si>
  <si>
    <t>Diadema antillarum 81-100 mm test</t>
  </si>
  <si>
    <t>&gt;100</t>
  </si>
  <si>
    <t>&gt;100 mm</t>
  </si>
  <si>
    <r>
      <t xml:space="preserve">Use </t>
    </r>
    <r>
      <rPr>
        <i/>
        <sz val="11"/>
        <color theme="1"/>
        <rFont val="Arial Narrow"/>
        <family val="2"/>
      </rPr>
      <t>D</t>
    </r>
    <r>
      <rPr>
        <sz val="11"/>
        <color theme="1"/>
        <rFont val="Arial Narrow"/>
        <family val="2"/>
      </rPr>
      <t xml:space="preserve">. </t>
    </r>
    <r>
      <rPr>
        <i/>
        <sz val="11"/>
        <color theme="1"/>
        <rFont val="Arial Narrow"/>
        <family val="2"/>
      </rPr>
      <t>antillarum</t>
    </r>
    <r>
      <rPr>
        <sz val="11"/>
        <color theme="1"/>
        <rFont val="Arial Narrow"/>
        <family val="2"/>
      </rPr>
      <t xml:space="preserve"> 81-100</t>
    </r>
  </si>
  <si>
    <t>from Hale et al. (in prep) - Mexico data</t>
  </si>
  <si>
    <t>&gt;60 mm</t>
  </si>
  <si>
    <t>Weights used from:</t>
  </si>
  <si>
    <r>
      <t>Use</t>
    </r>
    <r>
      <rPr>
        <i/>
        <sz val="11"/>
        <color theme="1"/>
        <rFont val="Arial Narrow"/>
        <family val="2"/>
      </rPr>
      <t xml:space="preserve"> D. antillarum</t>
    </r>
    <r>
      <rPr>
        <sz val="11"/>
        <color theme="1"/>
        <rFont val="Arial Narrow"/>
        <family val="2"/>
      </rPr>
      <t xml:space="preserve"> 61-80 data</t>
    </r>
  </si>
  <si>
    <r>
      <t xml:space="preserve">Use </t>
    </r>
    <r>
      <rPr>
        <i/>
        <sz val="11"/>
        <color theme="1"/>
        <rFont val="Arial Narrow"/>
        <family val="2"/>
      </rPr>
      <t>E. tribuloides</t>
    </r>
    <r>
      <rPr>
        <sz val="11"/>
        <color theme="1"/>
        <rFont val="Arial Narrow"/>
        <family val="2"/>
      </rPr>
      <t xml:space="preserve"> 21-40 data</t>
    </r>
  </si>
  <si>
    <t xml:space="preserve">  </t>
  </si>
  <si>
    <t>Med silt - clay</t>
  </si>
  <si>
    <t xml:space="preserve"> width  (mm)</t>
  </si>
  <si>
    <t>depth (mm)</t>
  </si>
  <si>
    <t>Growth rate (mm/day)</t>
  </si>
  <si>
    <t>Volume Increase in 1 day (cm3)</t>
  </si>
  <si>
    <t>EC</t>
  </si>
  <si>
    <t>HE</t>
  </si>
  <si>
    <t>&lt;Med silt</t>
  </si>
  <si>
    <t xml:space="preserve"> </t>
  </si>
  <si>
    <t>y = 1.2927x</t>
  </si>
  <si>
    <t>y = 24.8327x</t>
  </si>
  <si>
    <t>y = 16.3594x</t>
  </si>
  <si>
    <t>y = 5.065x</t>
  </si>
  <si>
    <t>ACA</t>
  </si>
  <si>
    <t>CaCO3 per cm3 (g)</t>
  </si>
  <si>
    <t>Growth rate (mm per day)</t>
  </si>
  <si>
    <t>Growth Rate (mm/day)</t>
  </si>
  <si>
    <r>
      <t>PRODUCTION/</t>
    </r>
    <r>
      <rPr>
        <sz val="11"/>
        <color theme="1"/>
        <rFont val="Arial Narrow"/>
        <family val="2"/>
      </rPr>
      <t>THALLUS</t>
    </r>
  </si>
  <si>
    <t>THALLUS DIMENSIONS</t>
  </si>
  <si>
    <t>1. DATA ENTRY - Measurements of individual thalli per quadrat</t>
  </si>
  <si>
    <r>
      <t>Total thallus volume (cm</t>
    </r>
    <r>
      <rPr>
        <b/>
        <vertAlign val="superscript"/>
        <sz val="11"/>
        <color theme="1"/>
        <rFont val="Arial Narrow"/>
        <family val="2"/>
      </rPr>
      <t>3</t>
    </r>
    <r>
      <rPr>
        <b/>
        <sz val="11"/>
        <color theme="1"/>
        <rFont val="Arial Narrow"/>
        <family val="2"/>
      </rPr>
      <t>)</t>
    </r>
  </si>
  <si>
    <r>
      <t>CaCO</t>
    </r>
    <r>
      <rPr>
        <b/>
        <vertAlign val="subscript"/>
        <sz val="11"/>
        <color theme="1"/>
        <rFont val="Arial Narrow"/>
        <family val="2"/>
      </rPr>
      <t>3</t>
    </r>
    <r>
      <rPr>
        <b/>
        <sz val="11"/>
        <color theme="1"/>
        <rFont val="Arial Narrow"/>
        <family val="2"/>
      </rPr>
      <t xml:space="preserve"> prod (g) /thallus/yr</t>
    </r>
  </si>
  <si>
    <t>COPY IN RELEVANT PROPORTIONAL BREAKDOWN DATA FROM "AMPHIROA METRICS" SHEET</t>
  </si>
  <si>
    <t>SUM # SEA URCHINS OVER ALL QUADRATS - THIS AUTO FILLS FROM THE URCHIN BIOEROSION TAB</t>
  </si>
  <si>
    <t>NB. &gt;60 mm uses 41-60 rates</t>
  </si>
  <si>
    <t>Hale et al. (in prep) - Mexico data</t>
  </si>
  <si>
    <t>Thallus volume and carbonate metrics</t>
  </si>
  <si>
    <t>Volume of thallus stem &amp; head</t>
  </si>
  <si>
    <t>PRODUCTION/THALLUS</t>
  </si>
  <si>
    <t>1. DATA ENTRY - based on individual thalli per quadrat (50  x 50 cm) - n = 10 quadrats per transect</t>
  </si>
  <si>
    <r>
      <t>g CaCO</t>
    </r>
    <r>
      <rPr>
        <b/>
        <vertAlign val="subscript"/>
        <sz val="11"/>
        <color theme="1"/>
        <rFont val="Arial Narrow"/>
        <family val="2"/>
      </rPr>
      <t>3</t>
    </r>
    <r>
      <rPr>
        <b/>
        <sz val="11"/>
        <color theme="1"/>
        <rFont val="Arial Narrow"/>
        <family val="2"/>
      </rPr>
      <t xml:space="preserve"> / thallus</t>
    </r>
  </si>
  <si>
    <t>1. Thallus abundance/quadrat</t>
  </si>
  <si>
    <t>Enter zeros if no thalli present</t>
  </si>
  <si>
    <t>Mean thalli/m2</t>
  </si>
  <si>
    <t xml:space="preserve">CaCO3 g/thallus </t>
  </si>
  <si>
    <t>Producer Group</t>
  </si>
  <si>
    <t>Based on rates in de Bakker et al. 2024</t>
  </si>
  <si>
    <t>in O. faveolata</t>
  </si>
  <si>
    <t>Based on rates in de Bakker et al. 2018; 2024</t>
  </si>
  <si>
    <t>In A. palmata</t>
  </si>
  <si>
    <t>Mean for substrates A. palmata (6.1); S. siderea (5.2); O. faveolata (4.9)</t>
  </si>
  <si>
    <t>Reef framework</t>
  </si>
  <si>
    <t>Mean for substrates A. palmata (4.5); O. faveolata (3.9)</t>
  </si>
  <si>
    <t>Mean for substrates A. palmata (4.9); O. faveolata (4.2)</t>
  </si>
  <si>
    <t>Mean for substrates: A. palmata (1.7); O. faveolata (1.0)</t>
  </si>
  <si>
    <r>
      <t>Sediment production rate (kg CaCO</t>
    </r>
    <r>
      <rPr>
        <b/>
        <vertAlign val="subscript"/>
        <sz val="11"/>
        <color theme="1"/>
        <rFont val="Arial Narrow"/>
        <family val="2"/>
      </rPr>
      <t>3</t>
    </r>
    <r>
      <rPr>
        <b/>
        <sz val="11"/>
        <color theme="1"/>
        <rFont val="Arial Narrow"/>
        <family val="2"/>
      </rPr>
      <t xml:space="preserve"> m</t>
    </r>
    <r>
      <rPr>
        <b/>
        <vertAlign val="superscript"/>
        <sz val="11"/>
        <color theme="1"/>
        <rFont val="Arial Narrow"/>
        <family val="2"/>
      </rPr>
      <t>-2</t>
    </r>
    <r>
      <rPr>
        <b/>
        <sz val="11"/>
        <color theme="1"/>
        <rFont val="Arial Narrow"/>
        <family val="2"/>
      </rPr>
      <t>yr</t>
    </r>
    <r>
      <rPr>
        <b/>
        <vertAlign val="superscript"/>
        <sz val="11"/>
        <color theme="1"/>
        <rFont val="Arial Narrow"/>
        <family val="2"/>
      </rPr>
      <t>-1</t>
    </r>
    <r>
      <rPr>
        <b/>
        <sz val="11"/>
        <color theme="1"/>
        <rFont val="Arial Narrow"/>
        <family val="2"/>
      </rPr>
      <t>)</t>
    </r>
  </si>
  <si>
    <t>Total Sediment Production</t>
  </si>
  <si>
    <t>Parrotfish</t>
  </si>
  <si>
    <t>0.000</t>
  </si>
  <si>
    <t>.</t>
  </si>
  <si>
    <t>HEAD DIMENSIONS</t>
  </si>
  <si>
    <t>STEM DIMENSIONS</t>
  </si>
  <si>
    <t xml:space="preserve">                             Production rates per species</t>
  </si>
  <si>
    <r>
      <t>CaCO</t>
    </r>
    <r>
      <rPr>
        <b/>
        <vertAlign val="subscript"/>
        <sz val="11"/>
        <color theme="1"/>
        <rFont val="Arial Narrow"/>
        <family val="2"/>
      </rPr>
      <t>3</t>
    </r>
    <r>
      <rPr>
        <b/>
        <sz val="11"/>
        <color theme="1"/>
        <rFont val="Arial Narrow"/>
        <family val="2"/>
      </rPr>
      <t xml:space="preserve"> (g) to volume relationship </t>
    </r>
    <r>
      <rPr>
        <b/>
        <sz val="9"/>
        <color theme="1"/>
        <rFont val="Arial Narrow"/>
        <family val="2"/>
      </rPr>
      <t>(just enter numeric relationship value)</t>
    </r>
  </si>
  <si>
    <r>
      <t>Volume of head if cone (cm</t>
    </r>
    <r>
      <rPr>
        <b/>
        <vertAlign val="superscript"/>
        <sz val="11"/>
        <color theme="1"/>
        <rFont val="Arial Narrow"/>
        <family val="2"/>
      </rPr>
      <t>3</t>
    </r>
    <r>
      <rPr>
        <b/>
        <sz val="11"/>
        <color theme="1"/>
        <rFont val="Arial Narrow"/>
        <family val="2"/>
      </rPr>
      <t>)</t>
    </r>
  </si>
  <si>
    <r>
      <t>Volume of head if triangular prism (cm</t>
    </r>
    <r>
      <rPr>
        <b/>
        <vertAlign val="superscript"/>
        <sz val="11"/>
        <color theme="1"/>
        <rFont val="Arial Narrow"/>
        <family val="2"/>
      </rPr>
      <t>3</t>
    </r>
    <r>
      <rPr>
        <b/>
        <sz val="11"/>
        <color theme="1"/>
        <rFont val="Arial Narrow"/>
        <family val="2"/>
      </rPr>
      <t>)</t>
    </r>
  </si>
  <si>
    <r>
      <t>CaCO</t>
    </r>
    <r>
      <rPr>
        <b/>
        <vertAlign val="subscript"/>
        <sz val="11"/>
        <color theme="1"/>
        <rFont val="Arial Narrow"/>
        <family val="2"/>
      </rPr>
      <t>3</t>
    </r>
    <r>
      <rPr>
        <b/>
        <sz val="11"/>
        <color theme="1"/>
        <rFont val="Arial Narrow"/>
        <family val="2"/>
      </rPr>
      <t xml:space="preserve"> (g) to volume relationship</t>
    </r>
  </si>
  <si>
    <t>Endolithic Sponges</t>
  </si>
  <si>
    <t>Articulated Coralline Algae</t>
  </si>
  <si>
    <t>Benthic Foraminifera</t>
  </si>
  <si>
    <t>e.g . 50 x 50 cm = 0.25m²</t>
  </si>
  <si>
    <t xml:space="preserve">Maximum number of grains counted from a size class </t>
  </si>
  <si>
    <t>Grain size fraction conversion for normalization</t>
  </si>
  <si>
    <t>Mean % contribution of foraminifera to grain size fraction</t>
  </si>
  <si>
    <t>Normalized number of shells in grain size fraction</t>
  </si>
  <si>
    <r>
      <t>CaCO</t>
    </r>
    <r>
      <rPr>
        <b/>
        <vertAlign val="subscript"/>
        <sz val="11"/>
        <rFont val="Arial Narrow"/>
        <family val="2"/>
      </rPr>
      <t>3</t>
    </r>
    <r>
      <rPr>
        <b/>
        <sz val="11"/>
        <rFont val="Arial Narrow"/>
        <family val="2"/>
      </rPr>
      <t xml:space="preserve"> prod (g) /thallus/yr</t>
    </r>
  </si>
  <si>
    <r>
      <t>Volume of ellipsoid (cm</t>
    </r>
    <r>
      <rPr>
        <b/>
        <vertAlign val="superscript"/>
        <sz val="11"/>
        <rFont val="Arial Narrow"/>
        <family val="2"/>
      </rPr>
      <t>3</t>
    </r>
    <r>
      <rPr>
        <b/>
        <sz val="11"/>
        <rFont val="Arial Narrow"/>
        <family val="2"/>
      </rPr>
      <t>)</t>
    </r>
  </si>
  <si>
    <r>
      <t>Volume of stem cylinder (cm</t>
    </r>
    <r>
      <rPr>
        <b/>
        <vertAlign val="superscript"/>
        <sz val="11"/>
        <rFont val="Arial Narrow"/>
        <family val="2"/>
      </rPr>
      <t>3</t>
    </r>
    <r>
      <rPr>
        <b/>
        <sz val="11"/>
        <rFont val="Arial Narrow"/>
        <family val="2"/>
      </rPr>
      <t>)</t>
    </r>
  </si>
  <si>
    <r>
      <t>Total thallus volume (cm</t>
    </r>
    <r>
      <rPr>
        <b/>
        <vertAlign val="superscript"/>
        <sz val="11"/>
        <rFont val="Arial Narrow"/>
        <family val="2"/>
      </rPr>
      <t>3</t>
    </r>
    <r>
      <rPr>
        <b/>
        <sz val="11"/>
        <rFont val="Arial Narrow"/>
        <family val="2"/>
      </rPr>
      <t>)</t>
    </r>
  </si>
  <si>
    <r>
      <t>CaCO</t>
    </r>
    <r>
      <rPr>
        <b/>
        <vertAlign val="subscript"/>
        <sz val="11"/>
        <rFont val="Arial Narrow"/>
        <family val="2"/>
      </rPr>
      <t>3</t>
    </r>
    <r>
      <rPr>
        <b/>
        <sz val="11"/>
        <rFont val="Arial Narrow"/>
        <family val="2"/>
      </rPr>
      <t xml:space="preserve"> (g) to volume relationship</t>
    </r>
  </si>
  <si>
    <r>
      <t>kg CaCO</t>
    </r>
    <r>
      <rPr>
        <b/>
        <vertAlign val="subscript"/>
        <sz val="11"/>
        <color theme="1"/>
        <rFont val="Arial Narrow"/>
        <family val="2"/>
      </rPr>
      <t>3</t>
    </r>
    <r>
      <rPr>
        <b/>
        <sz val="11"/>
        <color theme="1"/>
        <rFont val="Arial Narrow"/>
        <family val="2"/>
      </rPr>
      <t xml:space="preserve"> /m</t>
    </r>
    <r>
      <rPr>
        <b/>
        <vertAlign val="superscript"/>
        <sz val="11"/>
        <color theme="1"/>
        <rFont val="Arial Narrow"/>
        <family val="2"/>
      </rPr>
      <t>2</t>
    </r>
    <r>
      <rPr>
        <b/>
        <sz val="11"/>
        <color theme="1"/>
        <rFont val="Arial Narrow"/>
        <family val="2"/>
      </rPr>
      <t xml:space="preserve"> /yr</t>
    </r>
  </si>
  <si>
    <r>
      <t>TOTAL (kg /m</t>
    </r>
    <r>
      <rPr>
        <b/>
        <vertAlign val="superscript"/>
        <sz val="11"/>
        <color theme="1"/>
        <rFont val="Arial Narrow"/>
        <family val="2"/>
      </rPr>
      <t>2</t>
    </r>
    <r>
      <rPr>
        <b/>
        <sz val="11"/>
        <color theme="1"/>
        <rFont val="Arial Narrow"/>
        <family val="2"/>
      </rPr>
      <t xml:space="preserve"> /yr)</t>
    </r>
  </si>
  <si>
    <t>6. Proportions of sediment grain size fractions produced from skeletal breakdown</t>
  </si>
  <si>
    <r>
      <t>8. Sediment production rates (kg/ m</t>
    </r>
    <r>
      <rPr>
        <b/>
        <vertAlign val="superscript"/>
        <sz val="11"/>
        <color theme="1"/>
        <rFont val="Arial Narrow"/>
        <family val="2"/>
      </rPr>
      <t>2</t>
    </r>
    <r>
      <rPr>
        <b/>
        <sz val="11"/>
        <color theme="1"/>
        <rFont val="Arial Narrow"/>
        <family val="2"/>
      </rPr>
      <t xml:space="preserve"> /yr) for each species by grain size fractions</t>
    </r>
  </si>
  <si>
    <r>
      <t>3. Resultant mean sediment generation rates by species  (kg CaCO</t>
    </r>
    <r>
      <rPr>
        <b/>
        <vertAlign val="subscript"/>
        <sz val="11"/>
        <color theme="1"/>
        <rFont val="Arial Narrow"/>
        <family val="2"/>
      </rPr>
      <t>3</t>
    </r>
    <r>
      <rPr>
        <b/>
        <sz val="11"/>
        <color theme="1"/>
        <rFont val="Arial Narrow"/>
        <family val="2"/>
      </rPr>
      <t xml:space="preserve"> /m</t>
    </r>
    <r>
      <rPr>
        <b/>
        <vertAlign val="superscript"/>
        <sz val="11"/>
        <color theme="1"/>
        <rFont val="Arial Narrow"/>
        <family val="2"/>
      </rPr>
      <t>2</t>
    </r>
    <r>
      <rPr>
        <b/>
        <sz val="11"/>
        <color theme="1"/>
        <rFont val="Arial Narrow"/>
        <family val="2"/>
      </rPr>
      <t>/ yr)</t>
    </r>
  </si>
  <si>
    <r>
      <t>6. Sediment production rates (kg/ m</t>
    </r>
    <r>
      <rPr>
        <b/>
        <vertAlign val="superscript"/>
        <sz val="11"/>
        <color theme="1"/>
        <rFont val="Arial Narrow"/>
        <family val="2"/>
      </rPr>
      <t>2</t>
    </r>
    <r>
      <rPr>
        <b/>
        <sz val="11"/>
        <color theme="1"/>
        <rFont val="Arial Narrow"/>
        <family val="2"/>
      </rPr>
      <t xml:space="preserve"> /yr) for each species by grain size fractions</t>
    </r>
  </si>
  <si>
    <r>
      <t>4. Total sediment production rates (kg/ m</t>
    </r>
    <r>
      <rPr>
        <b/>
        <vertAlign val="superscript"/>
        <sz val="11"/>
        <color theme="1"/>
        <rFont val="Arial Narrow"/>
        <family val="2"/>
      </rPr>
      <t>2</t>
    </r>
    <r>
      <rPr>
        <b/>
        <sz val="11"/>
        <color theme="1"/>
        <rFont val="Arial Narrow"/>
        <family val="2"/>
      </rPr>
      <t>/ yr) for all species by grain size fractions</t>
    </r>
  </si>
  <si>
    <r>
      <t>7. Total sediment production rates (kg/ m</t>
    </r>
    <r>
      <rPr>
        <b/>
        <vertAlign val="superscript"/>
        <sz val="11"/>
        <color theme="1"/>
        <rFont val="Arial Narrow"/>
        <family val="2"/>
      </rPr>
      <t>2</t>
    </r>
    <r>
      <rPr>
        <b/>
        <sz val="11"/>
        <color theme="1"/>
        <rFont val="Arial Narrow"/>
        <family val="2"/>
      </rPr>
      <t>/ yr) for all species by grain size fractions</t>
    </r>
  </si>
  <si>
    <r>
      <t>9. Total sediment production rates (kg/ m</t>
    </r>
    <r>
      <rPr>
        <b/>
        <vertAlign val="superscript"/>
        <sz val="11"/>
        <color theme="1"/>
        <rFont val="Arial Narrow"/>
        <family val="2"/>
      </rPr>
      <t>2</t>
    </r>
    <r>
      <rPr>
        <b/>
        <sz val="11"/>
        <color theme="1"/>
        <rFont val="Arial Narrow"/>
        <family val="2"/>
      </rPr>
      <t>/ yr) for all species by grain size fractions</t>
    </r>
  </si>
  <si>
    <r>
      <t>7. Sediment production rates (kg/ m</t>
    </r>
    <r>
      <rPr>
        <b/>
        <vertAlign val="superscript"/>
        <sz val="11"/>
        <color theme="1"/>
        <rFont val="Arial Narrow"/>
        <family val="2"/>
      </rPr>
      <t>2</t>
    </r>
    <r>
      <rPr>
        <b/>
        <sz val="11"/>
        <color theme="1"/>
        <rFont val="Arial Narrow"/>
        <family val="2"/>
      </rPr>
      <t>/ yr) by grain size fractions from skeletal breakdown</t>
    </r>
  </si>
  <si>
    <r>
      <t>5. Sediment generation rate per species/size class (kg/ m</t>
    </r>
    <r>
      <rPr>
        <b/>
        <vertAlign val="superscript"/>
        <sz val="11"/>
        <color theme="1"/>
        <rFont val="Arial Narrow"/>
        <family val="2"/>
      </rPr>
      <t>2</t>
    </r>
    <r>
      <rPr>
        <b/>
        <sz val="11"/>
        <color theme="1"/>
        <rFont val="Arial Narrow"/>
        <family val="2"/>
      </rPr>
      <t>/ yr) from skeletal breakdown</t>
    </r>
  </si>
  <si>
    <r>
      <t>4. Average skeletal sediment production  (g/ yr/</t>
    </r>
    <r>
      <rPr>
        <b/>
        <vertAlign val="superscript"/>
        <sz val="11"/>
        <color theme="1"/>
        <rFont val="Arial Narrow"/>
        <family val="2"/>
      </rPr>
      <t xml:space="preserve"> </t>
    </r>
    <r>
      <rPr>
        <b/>
        <sz val="11"/>
        <color theme="1"/>
        <rFont val="Arial Narrow"/>
        <family val="2"/>
      </rPr>
      <t>ind )</t>
    </r>
  </si>
  <si>
    <t>3. Average ages (yr/ ind)</t>
  </si>
  <si>
    <t>2. Average skeletal weight (g/ ind)</t>
  </si>
  <si>
    <r>
      <t>6. Total sediment production rates (kg/ m</t>
    </r>
    <r>
      <rPr>
        <b/>
        <vertAlign val="superscript"/>
        <sz val="11"/>
        <color theme="1"/>
        <rFont val="Arial Narrow"/>
        <family val="2"/>
      </rPr>
      <t>2</t>
    </r>
    <r>
      <rPr>
        <b/>
        <sz val="11"/>
        <color theme="1"/>
        <rFont val="Arial Narrow"/>
        <family val="2"/>
      </rPr>
      <t>/ yr) for all species by grain size fractions</t>
    </r>
  </si>
  <si>
    <t>Total Area %</t>
  </si>
  <si>
    <t>METRICS AND RATES FOR ACA SPREADSHEET</t>
  </si>
  <si>
    <t>VALUES FOR CALCULATING BRITTLESTAR NUMBERS WITHIN ACA SPECIES</t>
  </si>
  <si>
    <t>Species Code</t>
  </si>
  <si>
    <t>Volume Threshold</t>
  </si>
  <si>
    <t>Formula Type</t>
  </si>
  <si>
    <t>A</t>
  </si>
  <si>
    <t>B</t>
  </si>
  <si>
    <t>Linear</t>
  </si>
  <si>
    <t>Constant</t>
  </si>
  <si>
    <t>Number In framework</t>
  </si>
  <si>
    <t>Total # in Halimeda &amp; ACA</t>
  </si>
  <si>
    <t># in Halimeda</t>
  </si>
  <si>
    <t># in ACA</t>
  </si>
  <si>
    <t>Habitat Type</t>
  </si>
  <si>
    <t>Halimeda/ ACA</t>
  </si>
  <si>
    <t>COPY IN RELEVANT METRICS FROM "AMPHIROA METRICS" SHEET</t>
  </si>
  <si>
    <t>COPY IN RELEVANT METRICS FROM "HALIMEDA METRICS" SHEET</t>
  </si>
  <si>
    <t>COPY IN RELEVANT METRICS FROM "PENICILLUS METRICS" SHEET</t>
  </si>
  <si>
    <t>COPY IN RELEVANT METRICS FROM "UDOTEA METRICS" SHEET</t>
  </si>
  <si>
    <t>COPY IN RELEVANT METRICS FROM "RHIPOCEPHALUS METRICS" SHEET</t>
  </si>
  <si>
    <t>COPY IN RELEVANT METRICS FROM "ACETABULARIA METRICS" SHEET</t>
  </si>
  <si>
    <t>COPY IN RELEVANT PROPORTIONAL BREAKDOWN DATA FROM "ACETABULARIA METRICS" SHEET</t>
  </si>
  <si>
    <t>Framework</t>
  </si>
  <si>
    <r>
      <t xml:space="preserve">Halimeda/ </t>
    </r>
    <r>
      <rPr>
        <b/>
        <sz val="11"/>
        <color theme="1"/>
        <rFont val="Arial Narrow"/>
        <family val="2"/>
      </rPr>
      <t>ACA</t>
    </r>
  </si>
  <si>
    <t>VALUES FOR CALCULATING BRITTLESTAR NUMBERS WITHIN HALIMEDA SPECIES</t>
  </si>
  <si>
    <t>All Halimeda species</t>
  </si>
  <si>
    <t>VALUES FOR CALCULATING BRITTLESTAR NUMBERS WITHIN FRAMEWORK</t>
  </si>
  <si>
    <t>Post-mortem grain size fraction contributions from brittle stars by habitat type (PROPORTIONS NOT RELATIVE %)</t>
  </si>
  <si>
    <t xml:space="preserve">* note species codes used in this table must match by species to those in the Articulated Coralline Algae sheet </t>
  </si>
  <si>
    <t xml:space="preserve">Equation </t>
  </si>
  <si>
    <t>bs # = V*0.094</t>
  </si>
  <si>
    <t>bs # =  0.036*V  -1.083</t>
  </si>
  <si>
    <t>bs # =  0.148*V  -1.145</t>
  </si>
  <si>
    <t>bs# = 1</t>
  </si>
  <si>
    <t xml:space="preserve">Equation used when volume (V) is above the threshold </t>
  </si>
  <si>
    <t>Interstitial volume conversion</t>
  </si>
  <si>
    <t>bs# = IV*4.5</t>
  </si>
  <si>
    <t>Production Estimate per individual</t>
  </si>
  <si>
    <t>PRODUCTION ESTIMATES PER INDIVIDUAL BY HABITAT OR BY HABITAT ONLY FOR RUBBLE</t>
  </si>
  <si>
    <t xml:space="preserve">Production Estimate </t>
  </si>
  <si>
    <t>BRITTLE STARS</t>
  </si>
  <si>
    <t xml:space="preserve">                                     Production rates per species </t>
  </si>
  <si>
    <t>Rubble Dropdown Options</t>
  </si>
  <si>
    <t>Volume Shape Model Choices</t>
  </si>
  <si>
    <t>YES</t>
  </si>
  <si>
    <t>NO</t>
  </si>
  <si>
    <r>
      <t>Total Production g/m</t>
    </r>
    <r>
      <rPr>
        <b/>
        <vertAlign val="superscript"/>
        <sz val="11"/>
        <color theme="1"/>
        <rFont val="Calibri"/>
        <family val="2"/>
        <scheme val="minor"/>
      </rPr>
      <t>2</t>
    </r>
    <r>
      <rPr>
        <b/>
        <sz val="11"/>
        <color theme="1"/>
        <rFont val="Calibri"/>
        <family val="2"/>
        <scheme val="minor"/>
      </rPr>
      <t>/yr</t>
    </r>
  </si>
  <si>
    <r>
      <t>Halimeda &amp; ACA Production g/m</t>
    </r>
    <r>
      <rPr>
        <b/>
        <vertAlign val="superscript"/>
        <sz val="11"/>
        <color theme="1"/>
        <rFont val="Calibri"/>
        <family val="2"/>
        <scheme val="minor"/>
      </rPr>
      <t>2</t>
    </r>
    <r>
      <rPr>
        <b/>
        <sz val="11"/>
        <color theme="1"/>
        <rFont val="Calibri"/>
        <family val="2"/>
        <scheme val="minor"/>
      </rPr>
      <t>/yr</t>
    </r>
  </si>
  <si>
    <r>
      <t>Framework Production g/m</t>
    </r>
    <r>
      <rPr>
        <b/>
        <vertAlign val="superscript"/>
        <sz val="11"/>
        <color theme="1"/>
        <rFont val="Calibri"/>
        <family val="2"/>
        <scheme val="minor"/>
      </rPr>
      <t>2</t>
    </r>
    <r>
      <rPr>
        <b/>
        <sz val="11"/>
        <color theme="1"/>
        <rFont val="Calibri"/>
        <family val="2"/>
        <scheme val="minor"/>
      </rPr>
      <t>/yr</t>
    </r>
  </si>
  <si>
    <r>
      <t>Production rates per habitat type kg/m</t>
    </r>
    <r>
      <rPr>
        <b/>
        <vertAlign val="superscript"/>
        <sz val="11"/>
        <color theme="1"/>
        <rFont val="Arial Narrow"/>
        <family val="2"/>
      </rPr>
      <t>2</t>
    </r>
    <r>
      <rPr>
        <b/>
        <sz val="11"/>
        <color theme="1"/>
        <rFont val="Arial Narrow"/>
        <family val="2"/>
      </rPr>
      <t>/ yr</t>
    </r>
  </si>
  <si>
    <r>
      <t>Rubble Production g/m</t>
    </r>
    <r>
      <rPr>
        <b/>
        <vertAlign val="superscript"/>
        <sz val="11"/>
        <color theme="1"/>
        <rFont val="Calibri"/>
        <family val="2"/>
        <scheme val="minor"/>
      </rPr>
      <t>2</t>
    </r>
    <r>
      <rPr>
        <b/>
        <sz val="11"/>
        <color theme="1"/>
        <rFont val="Calibri"/>
        <family val="2"/>
        <scheme val="minor"/>
      </rPr>
      <t>/yr</t>
    </r>
  </si>
  <si>
    <t>Table 1: Proportions of grain types produced according to producer groups. Sources for proportions for parrotfish, urchin bioerosion and seagrass epiphytes are listed in Tables 2-4 below.</t>
  </si>
  <si>
    <t>Coral</t>
  </si>
  <si>
    <t>Coralline algae</t>
  </si>
  <si>
    <t>Other calcareous green algae</t>
  </si>
  <si>
    <t>Foraminifera</t>
  </si>
  <si>
    <t>Urchin skeleton</t>
  </si>
  <si>
    <t>Bryozoan</t>
  </si>
  <si>
    <t>Brittle star skeleton</t>
  </si>
  <si>
    <t>Serpulids and worm tubes</t>
  </si>
  <si>
    <t>Table 2: Mean of Yarlett (2021) data on proportions of grain types in parrotfish faecal samples</t>
  </si>
  <si>
    <t>Grain type</t>
  </si>
  <si>
    <t>Proportion</t>
  </si>
  <si>
    <t>Or use local preferred data</t>
  </si>
  <si>
    <t>CCA</t>
  </si>
  <si>
    <t xml:space="preserve"> *Note these proportions have been calculated with the foraminifera, halimeda and mollusc categories removed as these categories have already been accounted for in census surveys.</t>
  </si>
  <si>
    <t>Table 3: Mean of data on proportions of grain types in urchin faecal samples. Overall average of species and sizes is used in Table 1.</t>
  </si>
  <si>
    <t>SizeCategory</t>
  </si>
  <si>
    <t>CA</t>
  </si>
  <si>
    <t>Echinometra spp.</t>
  </si>
  <si>
    <t>Average of all species and sizes</t>
  </si>
  <si>
    <t>*Note these proportions have been calculated with the foraminifera, halimeda and mollusc categories removed as these categories have already been accounted for in census surveys.</t>
  </si>
  <si>
    <t>Table 4: Proportions of seagrass epiphytes</t>
  </si>
  <si>
    <t>Grain Type</t>
  </si>
  <si>
    <t xml:space="preserve">*Note no detailed data on mean % cover or production of different epiphytes (to our knowledge), but in order of abundance of sediment relevant calacreous encrusting epiphytes Corlett &amp; Jones (2007) suggest CCA &gt;&gt; forams &gt; 'other' (mainly serpulids and polychaete worm tubes) - so here estimates are CCA (60%), foraminifera (30%), serpulid and worm tubes (10%). These proportions are applied (see above) </t>
  </si>
  <si>
    <t>Grain Constituent</t>
  </si>
  <si>
    <r>
      <t>Transect level mean sediment production (kg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 xml:space="preserve">) data by grain constituent and grain size </t>
    </r>
  </si>
  <si>
    <r>
      <t>Transect level mean sediment production (kg m</t>
    </r>
    <r>
      <rPr>
        <b/>
        <vertAlign val="superscript"/>
        <sz val="11"/>
        <color theme="1"/>
        <rFont val="Arial Narrow"/>
        <family val="2"/>
      </rPr>
      <t>-2</t>
    </r>
    <r>
      <rPr>
        <b/>
        <sz val="11"/>
        <color theme="1"/>
        <rFont val="Arial Narrow"/>
        <family val="2"/>
      </rPr>
      <t xml:space="preserve"> yr</t>
    </r>
    <r>
      <rPr>
        <b/>
        <vertAlign val="superscript"/>
        <sz val="11"/>
        <color theme="1"/>
        <rFont val="Arial Narrow"/>
        <family val="2"/>
      </rPr>
      <t>-1</t>
    </r>
    <r>
      <rPr>
        <b/>
        <sz val="11"/>
        <color theme="1"/>
        <rFont val="Arial Narrow"/>
        <family val="2"/>
      </rPr>
      <t>) data by sediment producer group and grain size</t>
    </r>
  </si>
  <si>
    <t xml:space="preserve">Transect level mean benthic cover and rugosity data </t>
  </si>
  <si>
    <t>COPY IN RELEVANT PROPORTIONAL BREAKDOWN DATA FROM "BRITTLE STAR METRICS" SHEET</t>
  </si>
  <si>
    <t>* Note these can be user changed in the Brittle star metrics tab</t>
  </si>
  <si>
    <r>
      <t xml:space="preserve">from Hale </t>
    </r>
    <r>
      <rPr>
        <i/>
        <sz val="11"/>
        <color theme="1"/>
        <rFont val="Arial Narrow"/>
        <family val="2"/>
      </rPr>
      <t>et al</t>
    </r>
    <r>
      <rPr>
        <sz val="11"/>
        <color theme="1"/>
        <rFont val="Arial Narrow"/>
        <family val="2"/>
      </rPr>
      <t>. (in prep) - Mexico data</t>
    </r>
  </si>
  <si>
    <t xml:space="preserve">from Hale et al. (in prep) </t>
  </si>
  <si>
    <t>A: Thallus volume and carbonate metrics</t>
  </si>
  <si>
    <t>B: Proportions of sediment grain size fractions produced</t>
  </si>
  <si>
    <t>* Due to a current paucity of rate data for very large (&gt;100 mm) test diameter specimens, rates from the 81-100 mm test size class are presently applied to any specimens &gt;100 mm in size for D. antillarum. Similarly for Echinometra lucunter, Echinometra viridis and Eucidaris tribuloides, there is a lack of data for individusals &gt;60mm test diameter (as individuals this large were not encountered at the study sites). Therfore, rates from the 41-60mm test size class are applied to any indivduals larger than 60mm in test diameter.</t>
  </si>
  <si>
    <t>Table 5 - Rates of bivalve production (individual/yr)</t>
  </si>
  <si>
    <t>Currently use an average rate of 0.00093 kg/ind/yr (see Table 5 below, based on data from Florida Bay, Bosence 1989)</t>
  </si>
  <si>
    <r>
      <t>Planar survey area (cm</t>
    </r>
    <r>
      <rPr>
        <b/>
        <vertAlign val="superscript"/>
        <sz val="11"/>
        <color rgb="FF000000"/>
        <rFont val="Arial Narrow"/>
        <family val="2"/>
      </rPr>
      <t>2</t>
    </r>
    <r>
      <rPr>
        <b/>
        <sz val="11"/>
        <color indexed="8"/>
        <rFont val="Arial Narrow"/>
        <family val="2"/>
      </rPr>
      <t xml:space="preserve">) </t>
    </r>
  </si>
  <si>
    <r>
      <t>Measured tissue cover (cm</t>
    </r>
    <r>
      <rPr>
        <b/>
        <vertAlign val="superscript"/>
        <sz val="11"/>
        <color rgb="FF000000"/>
        <rFont val="Arial Narrow"/>
        <family val="2"/>
      </rPr>
      <t>2</t>
    </r>
    <r>
      <rPr>
        <b/>
        <sz val="11"/>
        <color indexed="8"/>
        <rFont val="Arial Narrow"/>
        <family val="2"/>
      </rPr>
      <t>)</t>
    </r>
  </si>
  <si>
    <t>Quadrat</t>
  </si>
  <si>
    <t>COPY IN RELEVANT PROPORTIONAL BREAKDOWN DATA FROM "UDOTEA METRICS" SHEET</t>
  </si>
  <si>
    <r>
      <t>Mean production rate (kg/ m</t>
    </r>
    <r>
      <rPr>
        <b/>
        <vertAlign val="superscript"/>
        <sz val="11"/>
        <color theme="1"/>
        <rFont val="Arial Narrow"/>
        <family val="2"/>
      </rPr>
      <t>2</t>
    </r>
    <r>
      <rPr>
        <b/>
        <sz val="11"/>
        <color theme="1"/>
        <rFont val="Arial Narrow"/>
        <family val="2"/>
      </rPr>
      <t>/ yr)</t>
    </r>
  </si>
  <si>
    <t>A: Plant and carbonate metrics</t>
  </si>
  <si>
    <t>Seagrass Epibionts</t>
  </si>
  <si>
    <t>Brittle Stars</t>
  </si>
  <si>
    <t xml:space="preserve">Urchins - Erosion Derived </t>
  </si>
  <si>
    <t xml:space="preserve">Urchins - Skeletal Derived </t>
  </si>
  <si>
    <t>Interstitial Volume Conversion Factor</t>
  </si>
  <si>
    <t>1. DATA ENTRY - based on framework measurements and rubble presence per quadrat, along with per quadrat data from Articulated Coralline Algae and Halimeda sheets</t>
  </si>
  <si>
    <r>
      <t>A: PRODUCTION ESTIMATES PER INDIVIDUAL BY HABITAT (g/ yr) OR BY HABITAT ONLY FOR RUBBLE (g/ m</t>
    </r>
    <r>
      <rPr>
        <b/>
        <vertAlign val="superscript"/>
        <sz val="11"/>
        <color theme="1"/>
        <rFont val="Calibri"/>
        <family val="2"/>
        <scheme val="minor"/>
      </rPr>
      <t>2</t>
    </r>
    <r>
      <rPr>
        <b/>
        <sz val="11"/>
        <color theme="1"/>
        <rFont val="Calibri"/>
        <family val="2"/>
        <scheme val="minor"/>
      </rPr>
      <t>/ yr)</t>
    </r>
  </si>
  <si>
    <r>
      <t>2. Mean production per habitat (kg /m</t>
    </r>
    <r>
      <rPr>
        <b/>
        <vertAlign val="superscript"/>
        <sz val="11"/>
        <color theme="1"/>
        <rFont val="Arial Narrow"/>
        <family val="2"/>
      </rPr>
      <t>2</t>
    </r>
    <r>
      <rPr>
        <b/>
        <sz val="11"/>
        <color theme="1"/>
        <rFont val="Arial Narrow"/>
        <family val="2"/>
      </rPr>
      <t xml:space="preserve"> /yr)</t>
    </r>
  </si>
  <si>
    <r>
      <t>3. Sediment production rates (kg /m</t>
    </r>
    <r>
      <rPr>
        <b/>
        <vertAlign val="superscript"/>
        <sz val="11"/>
        <color theme="1"/>
        <rFont val="Calibri"/>
        <family val="2"/>
        <scheme val="minor"/>
      </rPr>
      <t>2</t>
    </r>
    <r>
      <rPr>
        <b/>
        <sz val="11"/>
        <color theme="1"/>
        <rFont val="Calibri"/>
        <family val="2"/>
        <scheme val="minor"/>
      </rPr>
      <t xml:space="preserve"> /yr) per habitat by grain size fractions</t>
    </r>
  </si>
  <si>
    <t>ENTER 0 IF CATEGORY IS NOT PRESENT</t>
  </si>
  <si>
    <t>Note: it is currently assumed bioeroding sponges produce 100% coral grains</t>
  </si>
  <si>
    <t>Rhipocephalus oblongus</t>
  </si>
  <si>
    <t>y = 0.0618x</t>
  </si>
  <si>
    <t>Thallus volume (x): segment (y) relationship</t>
  </si>
  <si>
    <t>Eleuthera (lagoon) - Perry et al. 2019. Frontier in Mar Sci. (average from other calcifying algae)</t>
  </si>
  <si>
    <t>URCHINS SKELETAL</t>
  </si>
  <si>
    <r>
      <t>Quadrat size (m</t>
    </r>
    <r>
      <rPr>
        <b/>
        <vertAlign val="superscript"/>
        <sz val="14"/>
        <color theme="1"/>
        <rFont val="Arial Narrow"/>
        <family val="2"/>
      </rPr>
      <t>2</t>
    </r>
    <r>
      <rPr>
        <b/>
        <sz val="14"/>
        <color theme="1"/>
        <rFont val="Arial Narrow"/>
        <family val="2"/>
      </rPr>
      <t>)</t>
    </r>
  </si>
  <si>
    <r>
      <t>CaCO</t>
    </r>
    <r>
      <rPr>
        <b/>
        <vertAlign val="subscript"/>
        <sz val="14"/>
        <color theme="1"/>
        <rFont val="Arial Narrow"/>
        <family val="2"/>
      </rPr>
      <t>3</t>
    </r>
    <r>
      <rPr>
        <b/>
        <sz val="14"/>
        <color theme="1"/>
        <rFont val="Arial Narrow"/>
        <family val="2"/>
      </rPr>
      <t xml:space="preserve"> per cm3</t>
    </r>
  </si>
  <si>
    <r>
      <t>Total thallus volume (cm</t>
    </r>
    <r>
      <rPr>
        <b/>
        <vertAlign val="superscript"/>
        <sz val="14"/>
        <color theme="1"/>
        <rFont val="Arial Narrow"/>
        <family val="2"/>
      </rPr>
      <t>3</t>
    </r>
    <r>
      <rPr>
        <b/>
        <sz val="14"/>
        <color theme="1"/>
        <rFont val="Arial Narrow"/>
        <family val="2"/>
      </rPr>
      <t>)</t>
    </r>
  </si>
  <si>
    <r>
      <t>CaCO</t>
    </r>
    <r>
      <rPr>
        <b/>
        <vertAlign val="subscript"/>
        <sz val="14"/>
        <rFont val="Arial Narrow"/>
        <family val="2"/>
      </rPr>
      <t>3</t>
    </r>
    <r>
      <rPr>
        <b/>
        <sz val="14"/>
        <rFont val="Arial Narrow"/>
        <family val="2"/>
      </rPr>
      <t xml:space="preserve"> per cm</t>
    </r>
    <r>
      <rPr>
        <b/>
        <vertAlign val="superscript"/>
        <sz val="14"/>
        <rFont val="Arial Narrow"/>
        <family val="2"/>
      </rPr>
      <t>3</t>
    </r>
  </si>
  <si>
    <r>
      <t>CaCO</t>
    </r>
    <r>
      <rPr>
        <b/>
        <vertAlign val="subscript"/>
        <sz val="14"/>
        <color theme="1"/>
        <rFont val="Arial Narrow"/>
        <family val="2"/>
      </rPr>
      <t>3</t>
    </r>
    <r>
      <rPr>
        <b/>
        <sz val="14"/>
        <color theme="1"/>
        <rFont val="Arial Narrow"/>
        <family val="2"/>
      </rPr>
      <t xml:space="preserve"> prod (g) /thallus/yr</t>
    </r>
  </si>
  <si>
    <r>
      <t>g CaCO</t>
    </r>
    <r>
      <rPr>
        <b/>
        <vertAlign val="subscript"/>
        <sz val="14"/>
        <color theme="1"/>
        <rFont val="Arial Narrow"/>
        <family val="2"/>
      </rPr>
      <t>3</t>
    </r>
    <r>
      <rPr>
        <b/>
        <sz val="14"/>
        <color theme="1"/>
        <rFont val="Arial Narrow"/>
        <family val="2"/>
      </rPr>
      <t>/m</t>
    </r>
    <r>
      <rPr>
        <b/>
        <vertAlign val="superscript"/>
        <sz val="14"/>
        <color theme="1"/>
        <rFont val="Arial Narrow"/>
        <family val="2"/>
      </rPr>
      <t>2</t>
    </r>
    <r>
      <rPr>
        <b/>
        <sz val="14"/>
        <color theme="1"/>
        <rFont val="Arial Narrow"/>
        <family val="2"/>
      </rPr>
      <t>/yr</t>
    </r>
  </si>
  <si>
    <r>
      <t>kg CaCO</t>
    </r>
    <r>
      <rPr>
        <b/>
        <vertAlign val="subscript"/>
        <sz val="14"/>
        <color theme="1"/>
        <rFont val="Arial Narrow"/>
        <family val="2"/>
      </rPr>
      <t>3</t>
    </r>
    <r>
      <rPr>
        <b/>
        <sz val="14"/>
        <color theme="1"/>
        <rFont val="Arial Narrow"/>
        <family val="2"/>
      </rPr>
      <t>/m</t>
    </r>
    <r>
      <rPr>
        <b/>
        <vertAlign val="superscript"/>
        <sz val="14"/>
        <color theme="1"/>
        <rFont val="Arial Narrow"/>
        <family val="2"/>
      </rPr>
      <t>2</t>
    </r>
    <r>
      <rPr>
        <b/>
        <sz val="14"/>
        <color theme="1"/>
        <rFont val="Arial Narrow"/>
        <family val="2"/>
      </rPr>
      <t>/yr</t>
    </r>
  </si>
  <si>
    <r>
      <t>Mean production rate (kg m</t>
    </r>
    <r>
      <rPr>
        <b/>
        <vertAlign val="superscript"/>
        <sz val="14"/>
        <color theme="1"/>
        <rFont val="Arial Narrow"/>
        <family val="2"/>
      </rPr>
      <t>-2</t>
    </r>
    <r>
      <rPr>
        <b/>
        <sz val="14"/>
        <color theme="1"/>
        <rFont val="Arial Narrow"/>
        <family val="2"/>
      </rPr>
      <t xml:space="preserve"> yr</t>
    </r>
    <r>
      <rPr>
        <b/>
        <vertAlign val="superscript"/>
        <sz val="14"/>
        <color theme="1"/>
        <rFont val="Arial Narrow"/>
        <family val="2"/>
      </rPr>
      <t>-1</t>
    </r>
    <r>
      <rPr>
        <b/>
        <sz val="14"/>
        <color theme="1"/>
        <rFont val="Arial Narrow"/>
        <family val="2"/>
      </rPr>
      <t>)</t>
    </r>
  </si>
  <si>
    <r>
      <t>3. Sediment production rates (kg/ m</t>
    </r>
    <r>
      <rPr>
        <b/>
        <vertAlign val="superscript"/>
        <sz val="14"/>
        <color theme="1"/>
        <rFont val="Arial Narrow"/>
        <family val="2"/>
      </rPr>
      <t>2</t>
    </r>
    <r>
      <rPr>
        <b/>
        <sz val="14"/>
        <color theme="1"/>
        <rFont val="Arial Narrow"/>
        <family val="2"/>
      </rPr>
      <t xml:space="preserve"> /yr) for each species by grain size fractions</t>
    </r>
  </si>
  <si>
    <r>
      <t>4. Total sediment production rates (kg/ m</t>
    </r>
    <r>
      <rPr>
        <b/>
        <vertAlign val="superscript"/>
        <sz val="14"/>
        <color theme="1"/>
        <rFont val="Arial Narrow"/>
        <family val="2"/>
      </rPr>
      <t>2</t>
    </r>
    <r>
      <rPr>
        <b/>
        <sz val="14"/>
        <color theme="1"/>
        <rFont val="Arial Narrow"/>
        <family val="2"/>
      </rPr>
      <t>/ yr) for all species by grain size fractions</t>
    </r>
  </si>
  <si>
    <r>
      <t>TOTAL (kg /m</t>
    </r>
    <r>
      <rPr>
        <b/>
        <vertAlign val="superscript"/>
        <sz val="14"/>
        <color theme="1"/>
        <rFont val="Arial Narrow"/>
        <family val="2"/>
      </rPr>
      <t>2</t>
    </r>
    <r>
      <rPr>
        <b/>
        <sz val="14"/>
        <color theme="1"/>
        <rFont val="Arial Narrow"/>
        <family val="2"/>
      </rPr>
      <t xml:space="preserve"> /yr)</t>
    </r>
  </si>
  <si>
    <t>Volume Shape Model (choose from dropdown menu)</t>
  </si>
  <si>
    <t>Relationship (just enter numeric relationship value)</t>
  </si>
  <si>
    <r>
      <t>CaCO</t>
    </r>
    <r>
      <rPr>
        <b/>
        <vertAlign val="subscript"/>
        <sz val="14"/>
        <color theme="1"/>
        <rFont val="Arial Narrow"/>
        <family val="2"/>
      </rPr>
      <t>3</t>
    </r>
    <r>
      <rPr>
        <b/>
        <sz val="14"/>
        <color theme="1"/>
        <rFont val="Arial Narrow"/>
        <family val="2"/>
      </rPr>
      <t xml:space="preserve"> per segment (g)</t>
    </r>
  </si>
  <si>
    <r>
      <t>CaCO</t>
    </r>
    <r>
      <rPr>
        <b/>
        <vertAlign val="subscript"/>
        <sz val="14"/>
        <color theme="1"/>
        <rFont val="Arial Narrow"/>
        <family val="2"/>
      </rPr>
      <t>3</t>
    </r>
    <r>
      <rPr>
        <b/>
        <sz val="14"/>
        <color theme="1"/>
        <rFont val="Arial Narrow"/>
        <family val="2"/>
      </rPr>
      <t xml:space="preserve"> content/segment</t>
    </r>
  </si>
  <si>
    <r>
      <t>3. Sediment production rates (kg m</t>
    </r>
    <r>
      <rPr>
        <b/>
        <vertAlign val="superscript"/>
        <sz val="14"/>
        <color theme="1"/>
        <rFont val="Arial Narrow"/>
        <family val="2"/>
      </rPr>
      <t>-2</t>
    </r>
    <r>
      <rPr>
        <b/>
        <sz val="14"/>
        <color theme="1"/>
        <rFont val="Arial Narrow"/>
        <family val="2"/>
      </rPr>
      <t xml:space="preserve"> yr</t>
    </r>
    <r>
      <rPr>
        <b/>
        <vertAlign val="superscript"/>
        <sz val="14"/>
        <color theme="1"/>
        <rFont val="Arial Narrow"/>
        <family val="2"/>
      </rPr>
      <t>-1</t>
    </r>
    <r>
      <rPr>
        <b/>
        <sz val="14"/>
        <color theme="1"/>
        <rFont val="Arial Narrow"/>
        <family val="2"/>
      </rPr>
      <t>) by grain size fractions</t>
    </r>
  </si>
  <si>
    <t>Proportional Contribution</t>
  </si>
  <si>
    <t>Molluscs (bivalves and gastropods)</t>
  </si>
  <si>
    <r>
      <t>Mean/m</t>
    </r>
    <r>
      <rPr>
        <b/>
        <vertAlign val="superscript"/>
        <sz val="11"/>
        <color theme="1"/>
        <rFont val="Arial Narrow"/>
        <family val="2"/>
      </rPr>
      <t>2</t>
    </r>
  </si>
  <si>
    <t>Full list (Algae base)</t>
  </si>
  <si>
    <t xml:space="preserve">METRICS AND RATES </t>
  </si>
  <si>
    <t>Rhipocephalus sp.</t>
  </si>
  <si>
    <r>
      <t xml:space="preserve">Use </t>
    </r>
    <r>
      <rPr>
        <i/>
        <sz val="11"/>
        <color theme="1"/>
        <rFont val="Arial Narrow"/>
        <family val="2"/>
      </rPr>
      <t>R. phoenix</t>
    </r>
    <r>
      <rPr>
        <sz val="11"/>
        <color theme="1"/>
        <rFont val="Arial Narrow"/>
        <family val="2"/>
      </rPr>
      <t xml:space="preserve"> rates</t>
    </r>
  </si>
  <si>
    <r>
      <t xml:space="preserve">List of seagrass species in the Tropical Atlantic Bioregion (Samper-Villarreal </t>
    </r>
    <r>
      <rPr>
        <b/>
        <i/>
        <sz val="12"/>
        <color theme="1"/>
        <rFont val="Arial Narrow"/>
        <family val="2"/>
      </rPr>
      <t xml:space="preserve">et al., </t>
    </r>
    <r>
      <rPr>
        <b/>
        <sz val="12"/>
        <color theme="1"/>
        <rFont val="Arial Narrow"/>
        <family val="2"/>
      </rPr>
      <t>2025) and recommended metrics</t>
    </r>
  </si>
  <si>
    <r>
      <t>Recommened species substitute for epiphyte carbonate per blade (g CaCO</t>
    </r>
    <r>
      <rPr>
        <b/>
        <vertAlign val="subscript"/>
        <sz val="11"/>
        <color theme="1"/>
        <rFont val="Arial Narrow"/>
        <family val="2"/>
      </rPr>
      <t>3</t>
    </r>
    <r>
      <rPr>
        <b/>
        <sz val="11"/>
        <color theme="1"/>
        <rFont val="Arial Narrow"/>
        <family val="2"/>
      </rPr>
      <t>)</t>
    </r>
  </si>
  <si>
    <t>Value</t>
  </si>
  <si>
    <t>Recommened species substitute for crops per year</t>
  </si>
  <si>
    <t>Recommended  substitutions are based on data from the same genera where possible and if not, a closely related genus  (where possible from the same bioregion). Grain size data is only available from 1 study, so this is the only data to apply to all species.</t>
  </si>
  <si>
    <t>Endemic to the tropical atlantic bioregion</t>
  </si>
  <si>
    <t>Halodule bermudensis</t>
  </si>
  <si>
    <t>Halodule ciliata</t>
  </si>
  <si>
    <t>Halodule emarginata</t>
  </si>
  <si>
    <t>Halophila baillonii</t>
  </si>
  <si>
    <r>
      <rPr>
        <sz val="11"/>
        <color theme="1"/>
        <rFont val="Arial Narrow"/>
        <family val="2"/>
      </rPr>
      <t>Mean of</t>
    </r>
    <r>
      <rPr>
        <i/>
        <sz val="11"/>
        <color theme="1"/>
        <rFont val="Arial Narrow"/>
        <family val="2"/>
      </rPr>
      <t xml:space="preserve"> Halophila ovaris </t>
    </r>
    <r>
      <rPr>
        <sz val="11"/>
        <color theme="1"/>
        <rFont val="Arial Narrow"/>
        <family val="2"/>
      </rPr>
      <t>&amp;</t>
    </r>
    <r>
      <rPr>
        <i/>
        <sz val="11"/>
        <color theme="1"/>
        <rFont val="Arial Narrow"/>
        <family val="2"/>
      </rPr>
      <t xml:space="preserve"> Halophila spp.</t>
    </r>
  </si>
  <si>
    <t>Halophila engelmannii</t>
  </si>
  <si>
    <t>Ruppia didyma</t>
  </si>
  <si>
    <t>Ruppia mexicana</t>
  </si>
  <si>
    <t>Syringodium filiforme</t>
  </si>
  <si>
    <t>Multiregional (also occurring in neighboring bioregions)</t>
  </si>
  <si>
    <t>Cymodocea nodosa</t>
  </si>
  <si>
    <r>
      <rPr>
        <sz val="11"/>
        <color theme="1"/>
        <rFont val="Arial Narrow"/>
        <family val="2"/>
      </rPr>
      <t>Mean of</t>
    </r>
    <r>
      <rPr>
        <i/>
        <sz val="11"/>
        <color theme="1"/>
        <rFont val="Arial Narrow"/>
        <family val="2"/>
      </rPr>
      <t xml:space="preserve"> Cymodocea rotundata </t>
    </r>
    <r>
      <rPr>
        <sz val="11"/>
        <color theme="1"/>
        <rFont val="Arial Narrow"/>
        <family val="2"/>
      </rPr>
      <t>&amp;</t>
    </r>
    <r>
      <rPr>
        <i/>
        <sz val="11"/>
        <color theme="1"/>
        <rFont val="Arial Narrow"/>
        <family val="2"/>
      </rPr>
      <t xml:space="preserve"> Cymodocea serrulata</t>
    </r>
  </si>
  <si>
    <r>
      <rPr>
        <sz val="11"/>
        <color theme="1"/>
        <rFont val="Arial Narrow"/>
        <family val="2"/>
      </rPr>
      <t>Mean of</t>
    </r>
    <r>
      <rPr>
        <i/>
        <sz val="11"/>
        <color theme="1"/>
        <rFont val="Arial Narrow"/>
        <family val="2"/>
      </rPr>
      <t xml:space="preserve"> Cymodocea rotundata </t>
    </r>
    <r>
      <rPr>
        <sz val="11"/>
        <color theme="1"/>
        <rFont val="Arial Narrow"/>
        <family val="2"/>
      </rPr>
      <t xml:space="preserve">&amp; </t>
    </r>
    <r>
      <rPr>
        <i/>
        <sz val="11"/>
        <color theme="1"/>
        <rFont val="Arial Narrow"/>
        <family val="2"/>
      </rPr>
      <t>Cymodocea serrulata</t>
    </r>
  </si>
  <si>
    <t>Halodule beaudettei</t>
  </si>
  <si>
    <t>Halodule wrightii</t>
  </si>
  <si>
    <t>Halophila decipiens</t>
  </si>
  <si>
    <t>Ruppia maritima</t>
  </si>
  <si>
    <t>Zostera noltei</t>
  </si>
  <si>
    <r>
      <rPr>
        <sz val="11"/>
        <color theme="1"/>
        <rFont val="Arial Narrow"/>
        <family val="2"/>
      </rPr>
      <t>Mean of</t>
    </r>
    <r>
      <rPr>
        <i/>
        <sz val="11"/>
        <color theme="1"/>
        <rFont val="Arial Narrow"/>
        <family val="2"/>
      </rPr>
      <t xml:space="preserve"> Cymodocea rotundata , Cymodocea serrulata &amp; Halodule uninevis</t>
    </r>
  </si>
  <si>
    <t>Non-native in the tropical atlantic bioregion</t>
  </si>
  <si>
    <t>Halophila ovalis</t>
  </si>
  <si>
    <t>Mean of Thalassia testudinum &amp; Thalassia hemprichii</t>
  </si>
  <si>
    <t>Halophila stipulacea</t>
  </si>
  <si>
    <t>Published metrics (Global)</t>
  </si>
  <si>
    <t>3. DATA ENTRY - Framework dimensions and large rubble presence</t>
  </si>
  <si>
    <t>Framework height</t>
  </si>
  <si>
    <t>Framework width</t>
  </si>
  <si>
    <t>Framework depth</t>
  </si>
  <si>
    <t>Rubble over 15cm present?</t>
  </si>
  <si>
    <t>width w (mm)</t>
  </si>
  <si>
    <t>depth d (mm)</t>
  </si>
  <si>
    <t>width s (mm)</t>
  </si>
  <si>
    <t xml:space="preserve">Site notes: </t>
  </si>
  <si>
    <t xml:space="preserve">1. DATA ENTRY - number of gastropods in sediments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</si>
</sst>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
    <numFmt numFmtId="165" formatCode="0.000"/>
    <numFmt numFmtId="166" formatCode="0.0000"/>
    <numFmt numFmtId="167" formatCode="dd/mm/yyyy;@"/>
    <numFmt numFmtId="168" formatCode="0.00000"/>
    <numFmt numFmtId="169" formatCode="#,##0.000"/>
    <numFmt numFmtId="170" formatCode="0.000000"/>
  </numFmts>
  <fonts count="61" x14ac:knownFonts="1">
    <font>
      <sz val="11"/>
      <color theme="1"/>
      <name val="Calibri"/>
      <family val="2"/>
      <scheme val="minor"/>
    </font>
    <font>
      <b/>
      <sz val="11"/>
      <color theme="1"/>
      <name val="Calibri"/>
      <family val="2"/>
      <scheme val="minor"/>
    </font>
    <font>
      <sz val="11"/>
      <color theme="1"/>
      <name val="Arial Narrow"/>
      <family val="2"/>
    </font>
    <font>
      <b/>
      <sz val="11"/>
      <color theme="1"/>
      <name val="Arial Narrow"/>
      <family val="2"/>
    </font>
    <font>
      <i/>
      <sz val="11"/>
      <color indexed="8"/>
      <name val="Arial Narrow"/>
      <family val="2"/>
    </font>
    <font>
      <b/>
      <sz val="11"/>
      <color indexed="8"/>
      <name val="Arial Narrow"/>
      <family val="2"/>
    </font>
    <font>
      <i/>
      <sz val="11"/>
      <color theme="1"/>
      <name val="Arial Narrow"/>
      <family val="2"/>
    </font>
    <font>
      <b/>
      <vertAlign val="superscript"/>
      <sz val="11"/>
      <color theme="1"/>
      <name val="Arial Narrow"/>
      <family val="2"/>
    </font>
    <font>
      <b/>
      <i/>
      <sz val="11"/>
      <color indexed="8"/>
      <name val="Arial Narrow"/>
      <family val="2"/>
    </font>
    <font>
      <b/>
      <i/>
      <sz val="11"/>
      <color theme="0"/>
      <name val="Arial Narrow"/>
      <family val="2"/>
    </font>
    <font>
      <b/>
      <i/>
      <sz val="11"/>
      <color indexed="8"/>
      <name val="Calibri"/>
      <family val="2"/>
    </font>
    <font>
      <b/>
      <sz val="11"/>
      <color indexed="8"/>
      <name val="Calibri"/>
      <family val="2"/>
    </font>
    <font>
      <b/>
      <i/>
      <sz val="11"/>
      <color theme="1"/>
      <name val="Arial Narrow"/>
      <family val="2"/>
    </font>
    <font>
      <sz val="11"/>
      <color rgb="FFFF0000"/>
      <name val="Arial Narrow"/>
      <family val="2"/>
    </font>
    <font>
      <b/>
      <vertAlign val="subscript"/>
      <sz val="11"/>
      <color theme="1"/>
      <name val="Arial Narrow"/>
      <family val="2"/>
    </font>
    <font>
      <sz val="11"/>
      <name val="Arial Narrow"/>
      <family val="2"/>
    </font>
    <font>
      <sz val="11"/>
      <color theme="1"/>
      <name val="Times New Roman"/>
      <family val="1"/>
    </font>
    <font>
      <b/>
      <sz val="11"/>
      <color rgb="FFFF0000"/>
      <name val="Arial Narrow"/>
      <family val="2"/>
    </font>
    <font>
      <sz val="8"/>
      <name val="Calibri"/>
      <family val="2"/>
      <scheme val="minor"/>
    </font>
    <font>
      <sz val="11"/>
      <color rgb="FF000000"/>
      <name val="Arial Narrow"/>
      <family val="2"/>
    </font>
    <font>
      <sz val="11"/>
      <color rgb="FF222222"/>
      <name val="Arial Narrow"/>
      <family val="2"/>
    </font>
    <font>
      <b/>
      <sz val="11"/>
      <color rgb="FF000000"/>
      <name val="Arial Narrow"/>
      <family val="2"/>
    </font>
    <font>
      <b/>
      <sz val="11"/>
      <name val="Arial Narrow"/>
      <family val="2"/>
    </font>
    <font>
      <sz val="11"/>
      <name val="Calibri"/>
      <family val="2"/>
      <scheme val="minor"/>
    </font>
    <font>
      <vertAlign val="superscript"/>
      <sz val="11"/>
      <color theme="1"/>
      <name val="Arial Narrow"/>
      <family val="2"/>
    </font>
    <font>
      <b/>
      <i/>
      <sz val="16"/>
      <color theme="1"/>
      <name val="Arial Narrow"/>
      <family val="2"/>
    </font>
    <font>
      <i/>
      <sz val="11"/>
      <name val="Arial Narrow"/>
      <family val="2"/>
    </font>
    <font>
      <sz val="11"/>
      <color indexed="8"/>
      <name val="Arial Narrow"/>
      <family val="2"/>
    </font>
    <font>
      <b/>
      <i/>
      <sz val="14"/>
      <color theme="1"/>
      <name val="Arial Narrow"/>
      <family val="2"/>
    </font>
    <font>
      <sz val="11"/>
      <name val="Times New Roman"/>
      <family val="1"/>
    </font>
    <font>
      <b/>
      <sz val="12"/>
      <color theme="1"/>
      <name val="Arial Narrow"/>
      <family val="2"/>
    </font>
    <font>
      <sz val="12"/>
      <color theme="1"/>
      <name val="Arial Narrow"/>
      <family val="2"/>
    </font>
    <font>
      <b/>
      <vertAlign val="superscript"/>
      <sz val="12"/>
      <color theme="1"/>
      <name val="Arial Narrow"/>
      <family val="2"/>
    </font>
    <font>
      <b/>
      <sz val="12"/>
      <name val="Arial Narrow"/>
      <family val="2"/>
    </font>
    <font>
      <b/>
      <sz val="11"/>
      <color theme="0"/>
      <name val="Arial Narrow"/>
      <family val="2"/>
    </font>
    <font>
      <b/>
      <sz val="11"/>
      <name val="Calibri"/>
      <family val="2"/>
      <scheme val="minor"/>
    </font>
    <font>
      <b/>
      <vertAlign val="superscript"/>
      <sz val="11"/>
      <color theme="1"/>
      <name val="Calibri"/>
      <family val="2"/>
      <scheme val="minor"/>
    </font>
    <font>
      <b/>
      <sz val="14"/>
      <color theme="1"/>
      <name val="Calibri"/>
      <family val="2"/>
      <scheme val="minor"/>
    </font>
    <font>
      <b/>
      <sz val="9"/>
      <color theme="1"/>
      <name val="Arial Narrow"/>
      <family val="2"/>
    </font>
    <font>
      <sz val="16"/>
      <color theme="1"/>
      <name val="Arial Narrow"/>
      <family val="2"/>
    </font>
    <font>
      <sz val="11"/>
      <color rgb="FFFF00FE"/>
      <name val="Calibri"/>
      <family val="2"/>
      <scheme val="minor"/>
    </font>
    <font>
      <b/>
      <vertAlign val="subscript"/>
      <sz val="11"/>
      <name val="Arial Narrow"/>
      <family val="2"/>
    </font>
    <font>
      <b/>
      <vertAlign val="superscript"/>
      <sz val="11"/>
      <name val="Arial Narrow"/>
      <family val="2"/>
    </font>
    <font>
      <b/>
      <i/>
      <sz val="12"/>
      <color theme="1"/>
      <name val="Calibri"/>
      <family val="2"/>
      <scheme val="minor"/>
    </font>
    <font>
      <b/>
      <i/>
      <sz val="12"/>
      <color indexed="8"/>
      <name val="Arial Narrow"/>
      <family val="2"/>
    </font>
    <font>
      <sz val="8"/>
      <color theme="1"/>
      <name val="Segoe UI"/>
      <family val="2"/>
    </font>
    <font>
      <b/>
      <vertAlign val="superscript"/>
      <sz val="11"/>
      <color rgb="FF000000"/>
      <name val="Arial Narrow"/>
      <family val="2"/>
    </font>
    <font>
      <b/>
      <i/>
      <sz val="11"/>
      <color rgb="FFFF0000"/>
      <name val="Arial Narrow"/>
      <family val="2"/>
    </font>
    <font>
      <b/>
      <i/>
      <sz val="11"/>
      <name val="Arial Narrow"/>
      <family val="2"/>
    </font>
    <font>
      <b/>
      <sz val="14"/>
      <color theme="1"/>
      <name val="Arial Narrow"/>
      <family val="2"/>
    </font>
    <font>
      <sz val="14"/>
      <color theme="1"/>
      <name val="Arial Narrow"/>
      <family val="2"/>
    </font>
    <font>
      <sz val="14"/>
      <color theme="1"/>
      <name val="Calibri"/>
      <family val="2"/>
      <scheme val="minor"/>
    </font>
    <font>
      <b/>
      <vertAlign val="superscript"/>
      <sz val="14"/>
      <color theme="1"/>
      <name val="Arial Narrow"/>
      <family val="2"/>
    </font>
    <font>
      <i/>
      <sz val="14"/>
      <color theme="1"/>
      <name val="Arial Narrow"/>
      <family val="2"/>
    </font>
    <font>
      <b/>
      <vertAlign val="subscript"/>
      <sz val="14"/>
      <color theme="1"/>
      <name val="Arial Narrow"/>
      <family val="2"/>
    </font>
    <font>
      <b/>
      <sz val="14"/>
      <name val="Arial Narrow"/>
      <family val="2"/>
    </font>
    <font>
      <b/>
      <vertAlign val="subscript"/>
      <sz val="14"/>
      <name val="Arial Narrow"/>
      <family val="2"/>
    </font>
    <font>
      <b/>
      <vertAlign val="superscript"/>
      <sz val="14"/>
      <name val="Arial Narrow"/>
      <family val="2"/>
    </font>
    <font>
      <b/>
      <sz val="14"/>
      <color theme="0"/>
      <name val="Arial Narrow"/>
      <family val="2"/>
    </font>
    <font>
      <sz val="10"/>
      <color rgb="FF000000"/>
      <name val="Arial"/>
      <family val="2"/>
    </font>
    <font>
      <b/>
      <i/>
      <sz val="12"/>
      <color theme="1"/>
      <name val="Arial Narrow"/>
      <family val="2"/>
    </font>
  </fonts>
  <fills count="13">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theme="9" tint="0.79998168889431442"/>
        <bgColor indexed="64"/>
      </patternFill>
    </fill>
    <fill>
      <patternFill patternType="solid">
        <fgColor theme="0"/>
        <bgColor indexed="64"/>
      </patternFill>
    </fill>
    <fill>
      <patternFill patternType="solid">
        <fgColor theme="2" tint="-0.249977111117893"/>
        <bgColor indexed="64"/>
      </patternFill>
    </fill>
    <fill>
      <patternFill patternType="solid">
        <fgColor theme="0"/>
        <bgColor theme="4" tint="0.79998168889431442"/>
      </patternFill>
    </fill>
    <fill>
      <patternFill patternType="solid">
        <fgColor theme="2" tint="-0.249977111117893"/>
        <bgColor theme="4"/>
      </patternFill>
    </fill>
  </fills>
  <borders count="37">
    <border>
      <left/>
      <right/>
      <top/>
      <bottom/>
      <diagonal/>
    </border>
    <border>
      <left style="thin">
        <color auto="1"/>
      </left>
      <right style="thin">
        <color auto="1"/>
      </right>
      <top style="thin">
        <color auto="1"/>
      </top>
      <bottom style="thin">
        <color auto="1"/>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thin">
        <color auto="1"/>
      </left>
      <right style="thin">
        <color auto="1"/>
      </right>
      <top/>
      <bottom/>
      <diagonal/>
    </border>
    <border>
      <left style="medium">
        <color indexed="64"/>
      </left>
      <right/>
      <top style="thin">
        <color indexed="64"/>
      </top>
      <bottom/>
      <diagonal/>
    </border>
    <border>
      <left style="thin">
        <color auto="1"/>
      </left>
      <right style="thin">
        <color auto="1"/>
      </right>
      <top style="thin">
        <color indexed="64"/>
      </top>
      <bottom style="thin">
        <color theme="4" tint="0.39997558519241921"/>
      </bottom>
      <diagonal/>
    </border>
    <border>
      <left style="thin">
        <color indexed="64"/>
      </left>
      <right style="thin">
        <color indexed="64"/>
      </right>
      <top style="thin">
        <color theme="4" tint="0.39997558519241921"/>
      </top>
      <bottom style="thin">
        <color indexed="64"/>
      </bottom>
      <diagonal/>
    </border>
    <border>
      <left style="thin">
        <color indexed="64"/>
      </left>
      <right/>
      <top style="thin">
        <color theme="4" tint="0.39997558519241921"/>
      </top>
      <bottom style="thin">
        <color indexed="64"/>
      </bottom>
      <diagonal/>
    </border>
    <border>
      <left/>
      <right style="thin">
        <color auto="1"/>
      </right>
      <top style="thin">
        <color indexed="64"/>
      </top>
      <bottom style="thin">
        <color theme="4" tint="0.39997558519241921"/>
      </bottom>
      <diagonal/>
    </border>
    <border>
      <left/>
      <right style="thin">
        <color auto="1"/>
      </right>
      <top style="thin">
        <color theme="4" tint="0.39997558519241921"/>
      </top>
      <bottom style="thin">
        <color indexed="64"/>
      </bottom>
      <diagonal/>
    </border>
    <border>
      <left style="thin">
        <color auto="1"/>
      </left>
      <right/>
      <top style="thin">
        <color theme="0" tint="-0.14999847407452621"/>
      </top>
      <bottom/>
      <diagonal/>
    </border>
    <border>
      <left style="thin">
        <color indexed="64"/>
      </left>
      <right style="thin">
        <color indexed="64"/>
      </right>
      <top style="thin">
        <color theme="0" tint="-0.14999847407452621"/>
      </top>
      <bottom style="thin">
        <color theme="0" tint="-0.14999847407452621"/>
      </bottom>
      <diagonal/>
    </border>
    <border>
      <left style="thick">
        <color indexed="64"/>
      </left>
      <right style="thin">
        <color indexed="64"/>
      </right>
      <top style="thin">
        <color auto="1"/>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n">
        <color auto="1"/>
      </left>
      <right/>
      <top style="thin">
        <color auto="1"/>
      </top>
      <bottom style="thin">
        <color theme="4" tint="0.39997558519241921"/>
      </bottom>
      <diagonal/>
    </border>
    <border>
      <left style="thick">
        <color indexed="64"/>
      </left>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double">
        <color indexed="64"/>
      </bottom>
      <diagonal/>
    </border>
    <border>
      <left/>
      <right style="thin">
        <color auto="1"/>
      </right>
      <top style="medium">
        <color indexed="64"/>
      </top>
      <bottom style="double">
        <color indexed="64"/>
      </bottom>
      <diagonal/>
    </border>
    <border>
      <left/>
      <right/>
      <top/>
      <bottom style="double">
        <color indexed="64"/>
      </bottom>
      <diagonal/>
    </border>
    <border>
      <left/>
      <right style="thin">
        <color indexed="64"/>
      </right>
      <top style="double">
        <color indexed="64"/>
      </top>
      <bottom/>
      <diagonal/>
    </border>
    <border>
      <left/>
      <right/>
      <top style="thin">
        <color auto="1"/>
      </top>
      <bottom style="double">
        <color indexed="64"/>
      </bottom>
      <diagonal/>
    </border>
    <border>
      <left/>
      <right style="thin">
        <color auto="1"/>
      </right>
      <top style="thin">
        <color indexed="64"/>
      </top>
      <bottom style="double">
        <color indexed="64"/>
      </bottom>
      <diagonal/>
    </border>
  </borders>
  <cellStyleXfs count="1">
    <xf numFmtId="0" fontId="0" fillId="0" borderId="0"/>
  </cellStyleXfs>
  <cellXfs count="756">
    <xf numFmtId="0" fontId="0" fillId="0" borderId="0" xfId="0"/>
    <xf numFmtId="0" fontId="1" fillId="0" borderId="0" xfId="0" applyFont="1"/>
    <xf numFmtId="165" fontId="0" fillId="0" borderId="0" xfId="0" applyNumberFormat="1"/>
    <xf numFmtId="0" fontId="2" fillId="0" borderId="0" xfId="0" applyFont="1"/>
    <xf numFmtId="0" fontId="3" fillId="0" borderId="0" xfId="0" applyFont="1"/>
    <xf numFmtId="167" fontId="2" fillId="0" borderId="0" xfId="0" applyNumberFormat="1" applyFont="1"/>
    <xf numFmtId="0" fontId="6" fillId="0" borderId="0" xfId="0" applyFont="1"/>
    <xf numFmtId="0" fontId="2" fillId="4" borderId="0" xfId="0" applyFont="1" applyFill="1"/>
    <xf numFmtId="0" fontId="2" fillId="0" borderId="1" xfId="0" applyFont="1" applyBorder="1"/>
    <xf numFmtId="165" fontId="2" fillId="0" borderId="1" xfId="0" applyNumberFormat="1" applyFont="1" applyBorder="1"/>
    <xf numFmtId="0" fontId="2" fillId="4" borderId="1" xfId="0" applyFont="1" applyFill="1" applyBorder="1" applyAlignment="1">
      <alignment horizontal="center"/>
    </xf>
    <xf numFmtId="2" fontId="2" fillId="0" borderId="0" xfId="0" applyNumberFormat="1" applyFont="1"/>
    <xf numFmtId="0" fontId="2" fillId="0" borderId="0" xfId="0" applyFont="1" applyAlignment="1">
      <alignment horizontal="center"/>
    </xf>
    <xf numFmtId="2" fontId="2" fillId="0" borderId="1" xfId="0" applyNumberFormat="1" applyFont="1" applyBorder="1"/>
    <xf numFmtId="0" fontId="4" fillId="0" borderId="0" xfId="0" applyFont="1" applyAlignment="1">
      <alignment horizontal="left"/>
    </xf>
    <xf numFmtId="0" fontId="10" fillId="0" borderId="0" xfId="0" applyFont="1" applyAlignment="1">
      <alignment horizontal="center"/>
    </xf>
    <xf numFmtId="0" fontId="11" fillId="0" borderId="0" xfId="0" applyFont="1" applyAlignment="1">
      <alignment horizontal="center"/>
    </xf>
    <xf numFmtId="0" fontId="5" fillId="0" borderId="0" xfId="0" applyFont="1" applyAlignment="1">
      <alignment horizontal="left"/>
    </xf>
    <xf numFmtId="2" fontId="2" fillId="0" borderId="1" xfId="0" applyNumberFormat="1" applyFont="1" applyBorder="1" applyAlignment="1">
      <alignment horizontal="center"/>
    </xf>
    <xf numFmtId="166" fontId="2" fillId="0" borderId="1" xfId="0" applyNumberFormat="1" applyFont="1" applyBorder="1" applyAlignment="1">
      <alignment horizontal="center"/>
    </xf>
    <xf numFmtId="0" fontId="13" fillId="0" borderId="0" xfId="0" applyFont="1"/>
    <xf numFmtId="0" fontId="2" fillId="0" borderId="1" xfId="0" applyFont="1" applyBorder="1" applyAlignment="1">
      <alignment horizontal="center"/>
    </xf>
    <xf numFmtId="165" fontId="2" fillId="0" borderId="0" xfId="0" applyNumberFormat="1" applyFont="1"/>
    <xf numFmtId="0" fontId="3" fillId="0" borderId="0" xfId="0" applyFont="1" applyAlignment="1">
      <alignment horizontal="left"/>
    </xf>
    <xf numFmtId="0" fontId="12" fillId="0" borderId="0" xfId="0" applyFont="1"/>
    <xf numFmtId="166" fontId="2" fillId="0" borderId="0" xfId="0" applyNumberFormat="1" applyFont="1"/>
    <xf numFmtId="166" fontId="2" fillId="0" borderId="0" xfId="0" applyNumberFormat="1" applyFont="1" applyAlignment="1">
      <alignment horizontal="center"/>
    </xf>
    <xf numFmtId="1" fontId="2" fillId="0" borderId="0" xfId="0" applyNumberFormat="1" applyFont="1"/>
    <xf numFmtId="0" fontId="3" fillId="0" borderId="0" xfId="0" applyFont="1" applyAlignment="1">
      <alignment horizontal="center"/>
    </xf>
    <xf numFmtId="0" fontId="1" fillId="0" borderId="0" xfId="0" applyFont="1" applyAlignment="1">
      <alignment horizontal="center"/>
    </xf>
    <xf numFmtId="166" fontId="3" fillId="0" borderId="0" xfId="0" applyNumberFormat="1" applyFont="1" applyAlignment="1">
      <alignment horizontal="center"/>
    </xf>
    <xf numFmtId="166" fontId="3" fillId="0" borderId="0" xfId="0" applyNumberFormat="1" applyFont="1"/>
    <xf numFmtId="1" fontId="3" fillId="0" borderId="0" xfId="0" applyNumberFormat="1" applyFont="1"/>
    <xf numFmtId="2" fontId="3" fillId="0" borderId="0" xfId="0" applyNumberFormat="1" applyFont="1"/>
    <xf numFmtId="166" fontId="3" fillId="0" borderId="1" xfId="0" applyNumberFormat="1" applyFont="1" applyBorder="1" applyAlignment="1">
      <alignment horizontal="center"/>
    </xf>
    <xf numFmtId="165" fontId="2" fillId="0" borderId="1" xfId="0" applyNumberFormat="1" applyFont="1" applyBorder="1" applyAlignment="1">
      <alignment horizontal="center"/>
    </xf>
    <xf numFmtId="2" fontId="2" fillId="0" borderId="0" xfId="0" applyNumberFormat="1" applyFont="1" applyAlignment="1">
      <alignment horizontal="center"/>
    </xf>
    <xf numFmtId="166" fontId="2" fillId="5" borderId="0" xfId="0" applyNumberFormat="1" applyFont="1" applyFill="1"/>
    <xf numFmtId="0" fontId="2" fillId="6" borderId="1" xfId="0" applyFont="1" applyFill="1" applyBorder="1" applyAlignment="1">
      <alignment horizontal="center"/>
    </xf>
    <xf numFmtId="0" fontId="3" fillId="0" borderId="1" xfId="0" applyFont="1" applyBorder="1" applyAlignment="1">
      <alignment horizontal="center"/>
    </xf>
    <xf numFmtId="166" fontId="2" fillId="0" borderId="0" xfId="0" applyNumberFormat="1" applyFont="1" applyAlignment="1">
      <alignment horizontal="left"/>
    </xf>
    <xf numFmtId="0" fontId="6" fillId="0" borderId="0" xfId="0" applyFont="1" applyAlignment="1">
      <alignment horizontal="center"/>
    </xf>
    <xf numFmtId="0" fontId="2" fillId="0" borderId="0" xfId="0" applyFont="1" applyAlignment="1">
      <alignment vertical="top" wrapText="1"/>
    </xf>
    <xf numFmtId="0" fontId="3" fillId="2" borderId="0" xfId="0" applyFont="1" applyFill="1"/>
    <xf numFmtId="0" fontId="3" fillId="0" borderId="0" xfId="0" applyFont="1" applyAlignment="1">
      <alignment horizontal="center" vertical="center"/>
    </xf>
    <xf numFmtId="0" fontId="3" fillId="0" borderId="0" xfId="0" applyFont="1" applyAlignment="1">
      <alignment horizontal="center" vertical="center" wrapText="1"/>
    </xf>
    <xf numFmtId="2" fontId="3" fillId="0" borderId="0" xfId="0" applyNumberFormat="1" applyFont="1" applyAlignment="1">
      <alignment horizontal="center" vertical="center"/>
    </xf>
    <xf numFmtId="0" fontId="1"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0" xfId="0" applyFont="1" applyAlignment="1">
      <alignment horizontal="center" vertical="center"/>
    </xf>
    <xf numFmtId="166" fontId="3" fillId="0" borderId="0" xfId="0" applyNumberFormat="1" applyFont="1" applyAlignment="1">
      <alignment horizontal="center" vertical="center"/>
    </xf>
    <xf numFmtId="0" fontId="2" fillId="0" borderId="3" xfId="0" applyFont="1" applyBorder="1" applyAlignment="1">
      <alignment vertical="top" wrapText="1"/>
    </xf>
    <xf numFmtId="167" fontId="2" fillId="0" borderId="3" xfId="0" applyNumberFormat="1" applyFont="1" applyBorder="1" applyAlignment="1">
      <alignment vertical="top" wrapText="1"/>
    </xf>
    <xf numFmtId="166" fontId="2" fillId="4" borderId="1" xfId="0" applyNumberFormat="1" applyFont="1" applyFill="1" applyBorder="1" applyAlignment="1">
      <alignment horizontal="center"/>
    </xf>
    <xf numFmtId="2" fontId="2" fillId="4" borderId="1" xfId="0" applyNumberFormat="1" applyFont="1" applyFill="1" applyBorder="1" applyAlignment="1">
      <alignment horizontal="center"/>
    </xf>
    <xf numFmtId="2" fontId="2" fillId="4" borderId="6" xfId="0" applyNumberFormat="1" applyFont="1" applyFill="1" applyBorder="1" applyAlignment="1">
      <alignment horizontal="center"/>
    </xf>
    <xf numFmtId="0" fontId="3" fillId="6" borderId="1" xfId="0" applyFont="1" applyFill="1" applyBorder="1" applyAlignment="1">
      <alignment horizontal="center"/>
    </xf>
    <xf numFmtId="1" fontId="2" fillId="0" borderId="0" xfId="0" applyNumberFormat="1" applyFont="1" applyAlignment="1">
      <alignment vertical="center"/>
    </xf>
    <xf numFmtId="0" fontId="2" fillId="0" borderId="0" xfId="0" applyFont="1" applyAlignment="1">
      <alignment vertical="center"/>
    </xf>
    <xf numFmtId="2" fontId="2" fillId="0" borderId="0" xfId="0" applyNumberFormat="1" applyFont="1" applyAlignment="1">
      <alignment vertical="center"/>
    </xf>
    <xf numFmtId="166" fontId="2" fillId="0" borderId="0" xfId="0" applyNumberFormat="1" applyFont="1" applyAlignment="1">
      <alignment vertical="center"/>
    </xf>
    <xf numFmtId="0" fontId="0" fillId="0" borderId="0" xfId="0" applyAlignment="1">
      <alignment vertical="center"/>
    </xf>
    <xf numFmtId="0" fontId="12" fillId="0" borderId="0" xfId="0" applyFont="1" applyAlignment="1">
      <alignment horizontal="left"/>
    </xf>
    <xf numFmtId="0" fontId="6" fillId="0" borderId="1" xfId="0" applyFont="1" applyBorder="1"/>
    <xf numFmtId="166" fontId="2" fillId="0" borderId="1" xfId="0" applyNumberFormat="1" applyFont="1" applyBorder="1"/>
    <xf numFmtId="166" fontId="3" fillId="0" borderId="1" xfId="0" applyNumberFormat="1" applyFont="1" applyBorder="1"/>
    <xf numFmtId="166" fontId="2" fillId="0" borderId="1" xfId="0" applyNumberFormat="1" applyFont="1" applyBorder="1" applyAlignment="1">
      <alignment horizontal="left"/>
    </xf>
    <xf numFmtId="1" fontId="2" fillId="0" borderId="1" xfId="0" applyNumberFormat="1" applyFont="1" applyBorder="1"/>
    <xf numFmtId="164" fontId="3" fillId="0" borderId="1" xfId="0" applyNumberFormat="1" applyFont="1" applyBorder="1" applyAlignment="1">
      <alignment horizontal="center"/>
    </xf>
    <xf numFmtId="164" fontId="3" fillId="0" borderId="0" xfId="0" applyNumberFormat="1" applyFont="1" applyAlignment="1">
      <alignment horizontal="center"/>
    </xf>
    <xf numFmtId="2" fontId="3" fillId="0" borderId="1" xfId="0" applyNumberFormat="1" applyFont="1" applyBorder="1" applyAlignment="1">
      <alignment horizontal="center"/>
    </xf>
    <xf numFmtId="2" fontId="3" fillId="0" borderId="0" xfId="0" applyNumberFormat="1" applyFont="1" applyAlignment="1">
      <alignment horizontal="center"/>
    </xf>
    <xf numFmtId="0" fontId="3" fillId="0" borderId="0" xfId="0" applyFont="1" applyAlignment="1">
      <alignment vertical="center"/>
    </xf>
    <xf numFmtId="166" fontId="6" fillId="0" borderId="1" xfId="0" applyNumberFormat="1" applyFont="1" applyBorder="1" applyAlignment="1">
      <alignment horizontal="left"/>
    </xf>
    <xf numFmtId="16" fontId="3" fillId="0" borderId="0" xfId="0" applyNumberFormat="1" applyFont="1" applyAlignment="1">
      <alignment horizontal="center"/>
    </xf>
    <xf numFmtId="166" fontId="3" fillId="0" borderId="0" xfId="0" applyNumberFormat="1" applyFont="1" applyAlignment="1">
      <alignment horizontal="center" vertical="top" wrapText="1"/>
    </xf>
    <xf numFmtId="0" fontId="3" fillId="0" borderId="0" xfId="0" applyFont="1" applyAlignment="1">
      <alignment vertical="top" wrapText="1"/>
    </xf>
    <xf numFmtId="0" fontId="16" fillId="0" borderId="0" xfId="0" applyFont="1"/>
    <xf numFmtId="0" fontId="17" fillId="0" borderId="0" xfId="0" applyFont="1"/>
    <xf numFmtId="0" fontId="3" fillId="0" borderId="1" xfId="0" applyFont="1" applyBorder="1"/>
    <xf numFmtId="0" fontId="3" fillId="2" borderId="1" xfId="0" applyFont="1" applyFill="1" applyBorder="1" applyAlignment="1">
      <alignment horizontal="center"/>
    </xf>
    <xf numFmtId="166" fontId="3" fillId="2" borderId="1" xfId="0" applyNumberFormat="1" applyFont="1" applyFill="1" applyBorder="1" applyAlignment="1">
      <alignment horizontal="center" vertical="center"/>
    </xf>
    <xf numFmtId="164" fontId="3" fillId="0" borderId="0" xfId="0" applyNumberFormat="1" applyFont="1" applyAlignment="1">
      <alignment horizontal="left"/>
    </xf>
    <xf numFmtId="0" fontId="15" fillId="0" borderId="0" xfId="0" applyFont="1"/>
    <xf numFmtId="0" fontId="2" fillId="0" borderId="0" xfId="0" applyFont="1" applyAlignment="1">
      <alignment horizontal="left" vertical="top" wrapText="1"/>
    </xf>
    <xf numFmtId="0" fontId="3" fillId="0" borderId="0" xfId="0" applyFont="1" applyAlignment="1">
      <alignment horizontal="left" vertical="top" wrapText="1"/>
    </xf>
    <xf numFmtId="0" fontId="3" fillId="0" borderId="6" xfId="0" applyFont="1" applyBorder="1" applyAlignment="1">
      <alignment horizontal="center"/>
    </xf>
    <xf numFmtId="0" fontId="2" fillId="2" borderId="0" xfId="0" applyFont="1" applyFill="1"/>
    <xf numFmtId="165" fontId="3" fillId="0" borderId="0" xfId="0" applyNumberFormat="1" applyFont="1"/>
    <xf numFmtId="0" fontId="3" fillId="3" borderId="1" xfId="0" applyFont="1" applyFill="1" applyBorder="1" applyAlignment="1">
      <alignment horizontal="center" vertical="center"/>
    </xf>
    <xf numFmtId="167" fontId="3" fillId="3" borderId="1" xfId="0" applyNumberFormat="1" applyFont="1" applyFill="1" applyBorder="1" applyAlignment="1">
      <alignment horizontal="center" vertical="center"/>
    </xf>
    <xf numFmtId="0" fontId="13" fillId="0" borderId="0" xfId="0" applyFont="1" applyAlignment="1">
      <alignment horizontal="center"/>
    </xf>
    <xf numFmtId="165" fontId="2" fillId="0" borderId="0" xfId="0" applyNumberFormat="1" applyFont="1" applyAlignment="1">
      <alignment horizontal="center"/>
    </xf>
    <xf numFmtId="168" fontId="2" fillId="0" borderId="0" xfId="0" applyNumberFormat="1" applyFont="1"/>
    <xf numFmtId="0" fontId="2" fillId="0" borderId="13" xfId="0" applyFont="1" applyBorder="1" applyAlignment="1">
      <alignment horizontal="center"/>
    </xf>
    <xf numFmtId="165" fontId="2" fillId="4" borderId="1" xfId="0" applyNumberFormat="1" applyFont="1" applyFill="1" applyBorder="1" applyAlignment="1">
      <alignment horizontal="center"/>
    </xf>
    <xf numFmtId="0" fontId="19" fillId="0" borderId="0" xfId="0" applyFont="1" applyAlignment="1">
      <alignment vertical="center"/>
    </xf>
    <xf numFmtId="0" fontId="2" fillId="0" borderId="0" xfId="0" applyFont="1" applyAlignment="1">
      <alignment horizontal="left"/>
    </xf>
    <xf numFmtId="0" fontId="21" fillId="0" borderId="0" xfId="0" applyFont="1" applyAlignment="1">
      <alignment vertical="center"/>
    </xf>
    <xf numFmtId="166" fontId="3" fillId="0" borderId="0" xfId="0" applyNumberFormat="1" applyFont="1" applyAlignment="1">
      <alignment horizontal="left"/>
    </xf>
    <xf numFmtId="0" fontId="20" fillId="0" borderId="0" xfId="0" applyFont="1" applyAlignment="1">
      <alignment vertical="center"/>
    </xf>
    <xf numFmtId="2" fontId="3" fillId="6" borderId="1" xfId="0" applyNumberFormat="1" applyFont="1" applyFill="1" applyBorder="1" applyAlignment="1">
      <alignment horizontal="center"/>
    </xf>
    <xf numFmtId="164" fontId="2" fillId="0" borderId="0" xfId="0" applyNumberFormat="1" applyFont="1" applyAlignment="1">
      <alignment horizontal="center" vertical="top" wrapText="1"/>
    </xf>
    <xf numFmtId="164" fontId="2" fillId="0" borderId="0" xfId="0" applyNumberFormat="1" applyFont="1" applyAlignment="1">
      <alignment horizontal="center"/>
    </xf>
    <xf numFmtId="0" fontId="2" fillId="0" borderId="6" xfId="0" applyFont="1" applyBorder="1"/>
    <xf numFmtId="0" fontId="3" fillId="0" borderId="0" xfId="0" applyFont="1" applyAlignment="1">
      <alignment horizontal="right"/>
    </xf>
    <xf numFmtId="0" fontId="2" fillId="0" borderId="13" xfId="0" applyFont="1" applyBorder="1"/>
    <xf numFmtId="0" fontId="3" fillId="0" borderId="0" xfId="0" applyFont="1" applyAlignment="1">
      <alignment horizontal="left" vertical="center" wrapText="1"/>
    </xf>
    <xf numFmtId="1" fontId="6" fillId="0" borderId="1" xfId="0" applyNumberFormat="1" applyFont="1" applyBorder="1" applyAlignment="1">
      <alignment horizontal="left"/>
    </xf>
    <xf numFmtId="166" fontId="6" fillId="0" borderId="0" xfId="0" applyNumberFormat="1" applyFont="1" applyAlignment="1">
      <alignment horizontal="left"/>
    </xf>
    <xf numFmtId="164" fontId="3" fillId="0" borderId="1" xfId="0" applyNumberFormat="1" applyFont="1" applyBorder="1" applyAlignment="1">
      <alignment horizontal="left"/>
    </xf>
    <xf numFmtId="0" fontId="2" fillId="0" borderId="1" xfId="0" applyFont="1" applyBorder="1" applyAlignment="1">
      <alignment horizontal="left"/>
    </xf>
    <xf numFmtId="164" fontId="2" fillId="0" borderId="1" xfId="0" applyNumberFormat="1" applyFont="1" applyBorder="1" applyAlignment="1">
      <alignment horizontal="left"/>
    </xf>
    <xf numFmtId="0" fontId="3" fillId="4" borderId="6" xfId="0" applyFont="1" applyFill="1" applyBorder="1"/>
    <xf numFmtId="0" fontId="15" fillId="0" borderId="1" xfId="0" applyFont="1" applyBorder="1" applyAlignment="1">
      <alignment horizontal="center"/>
    </xf>
    <xf numFmtId="0" fontId="2" fillId="4" borderId="6" xfId="0" applyFont="1" applyFill="1" applyBorder="1" applyAlignment="1">
      <alignment horizontal="center"/>
    </xf>
    <xf numFmtId="164" fontId="2" fillId="0" borderId="1" xfId="0" applyNumberFormat="1" applyFont="1" applyBorder="1" applyAlignment="1">
      <alignment horizontal="center"/>
    </xf>
    <xf numFmtId="165" fontId="3" fillId="0" borderId="1" xfId="0" applyNumberFormat="1" applyFont="1" applyBorder="1" applyAlignment="1">
      <alignment horizontal="center"/>
    </xf>
    <xf numFmtId="0" fontId="3" fillId="0" borderId="13" xfId="0" applyFont="1" applyBorder="1" applyAlignment="1">
      <alignment horizontal="center"/>
    </xf>
    <xf numFmtId="2" fontId="3" fillId="0" borderId="0" xfId="0" applyNumberFormat="1" applyFont="1" applyAlignment="1">
      <alignment horizontal="left"/>
    </xf>
    <xf numFmtId="1" fontId="2" fillId="6" borderId="1" xfId="0" applyNumberFormat="1" applyFont="1" applyFill="1" applyBorder="1" applyAlignment="1">
      <alignment horizontal="center"/>
    </xf>
    <xf numFmtId="0" fontId="13" fillId="0" borderId="1" xfId="0" applyFont="1" applyBorder="1" applyAlignment="1">
      <alignment horizontal="center"/>
    </xf>
    <xf numFmtId="1" fontId="2" fillId="0" borderId="1" xfId="0" applyNumberFormat="1" applyFont="1" applyBorder="1" applyAlignment="1">
      <alignment horizontal="center"/>
    </xf>
    <xf numFmtId="165" fontId="3" fillId="0" borderId="0" xfId="0" applyNumberFormat="1" applyFont="1" applyAlignment="1">
      <alignment horizontal="center"/>
    </xf>
    <xf numFmtId="165" fontId="3" fillId="0" borderId="0" xfId="0" applyNumberFormat="1" applyFont="1" applyAlignment="1">
      <alignment horizontal="center" vertical="center" wrapText="1"/>
    </xf>
    <xf numFmtId="164" fontId="3" fillId="0" borderId="0" xfId="0" applyNumberFormat="1" applyFont="1" applyAlignment="1">
      <alignment horizontal="center" vertical="center"/>
    </xf>
    <xf numFmtId="166" fontId="3" fillId="0" borderId="0" xfId="0" applyNumberFormat="1" applyFont="1" applyAlignment="1">
      <alignment horizontal="center" vertical="center" wrapText="1"/>
    </xf>
    <xf numFmtId="165" fontId="3" fillId="0" borderId="0" xfId="0" applyNumberFormat="1" applyFont="1" applyAlignment="1">
      <alignment horizontal="center" vertical="center"/>
    </xf>
    <xf numFmtId="165" fontId="2" fillId="0" borderId="0" xfId="0" applyNumberFormat="1" applyFont="1" applyAlignment="1">
      <alignment vertical="top" wrapText="1"/>
    </xf>
    <xf numFmtId="165" fontId="3" fillId="0" borderId="1" xfId="0" applyNumberFormat="1" applyFont="1" applyBorder="1" applyAlignment="1">
      <alignment horizontal="center" vertical="center"/>
    </xf>
    <xf numFmtId="165" fontId="3" fillId="2" borderId="1" xfId="0" applyNumberFormat="1" applyFont="1" applyFill="1" applyBorder="1" applyAlignment="1">
      <alignment horizontal="center"/>
    </xf>
    <xf numFmtId="165" fontId="2" fillId="0" borderId="0" xfId="0" applyNumberFormat="1" applyFont="1" applyAlignment="1">
      <alignment horizontal="center" vertical="center"/>
    </xf>
    <xf numFmtId="2" fontId="2" fillId="0" borderId="0" xfId="0" applyNumberFormat="1" applyFont="1" applyAlignment="1">
      <alignment vertical="top" wrapText="1"/>
    </xf>
    <xf numFmtId="2" fontId="13" fillId="0" borderId="1" xfId="0" applyNumberFormat="1" applyFont="1" applyBorder="1" applyAlignment="1">
      <alignment horizontal="center"/>
    </xf>
    <xf numFmtId="2" fontId="2" fillId="0" borderId="0" xfId="0" applyNumberFormat="1" applyFont="1" applyAlignment="1">
      <alignment horizontal="center" vertical="center"/>
    </xf>
    <xf numFmtId="0" fontId="15" fillId="0" borderId="0" xfId="0" applyFont="1" applyAlignment="1">
      <alignment horizontal="center"/>
    </xf>
    <xf numFmtId="166" fontId="3" fillId="4" borderId="1" xfId="0" applyNumberFormat="1" applyFont="1" applyFill="1" applyBorder="1" applyAlignment="1">
      <alignment horizontal="center"/>
    </xf>
    <xf numFmtId="0" fontId="12" fillId="0" borderId="1" xfId="0" applyFont="1" applyBorder="1" applyAlignment="1">
      <alignment horizontal="center"/>
    </xf>
    <xf numFmtId="2" fontId="2" fillId="0" borderId="13" xfId="0" applyNumberFormat="1" applyFont="1" applyBorder="1" applyAlignment="1">
      <alignment horizontal="center"/>
    </xf>
    <xf numFmtId="0" fontId="12" fillId="0" borderId="1" xfId="0" applyFont="1" applyBorder="1" applyAlignment="1">
      <alignment horizontal="left"/>
    </xf>
    <xf numFmtId="0" fontId="19" fillId="0" borderId="0" xfId="0" applyFont="1" applyAlignment="1">
      <alignment vertical="center" wrapText="1"/>
    </xf>
    <xf numFmtId="165" fontId="2" fillId="7" borderId="0" xfId="0" applyNumberFormat="1" applyFont="1" applyFill="1" applyAlignment="1">
      <alignment horizontal="center"/>
    </xf>
    <xf numFmtId="164" fontId="2" fillId="7" borderId="0" xfId="0" applyNumberFormat="1" applyFont="1" applyFill="1" applyAlignment="1">
      <alignment horizontal="center"/>
    </xf>
    <xf numFmtId="1" fontId="3" fillId="6" borderId="1" xfId="0" applyNumberFormat="1" applyFont="1" applyFill="1" applyBorder="1" applyAlignment="1">
      <alignment horizontal="center"/>
    </xf>
    <xf numFmtId="165" fontId="13" fillId="0" borderId="0" xfId="0" applyNumberFormat="1" applyFont="1" applyAlignment="1">
      <alignment horizontal="center"/>
    </xf>
    <xf numFmtId="168" fontId="2" fillId="0" borderId="0" xfId="0" applyNumberFormat="1" applyFont="1" applyAlignment="1">
      <alignment horizontal="center"/>
    </xf>
    <xf numFmtId="168" fontId="3" fillId="0" borderId="0" xfId="0" applyNumberFormat="1" applyFont="1" applyAlignment="1">
      <alignment horizontal="center"/>
    </xf>
    <xf numFmtId="0" fontId="6" fillId="0" borderId="9" xfId="0" applyFont="1" applyBorder="1"/>
    <xf numFmtId="0" fontId="6" fillId="0" borderId="1" xfId="0" applyFont="1" applyBorder="1" applyAlignment="1">
      <alignment horizontal="left"/>
    </xf>
    <xf numFmtId="1" fontId="13" fillId="0" borderId="1" xfId="0" applyNumberFormat="1" applyFont="1" applyBorder="1" applyAlignment="1">
      <alignment horizontal="center"/>
    </xf>
    <xf numFmtId="169" fontId="3" fillId="0" borderId="0" xfId="0" applyNumberFormat="1" applyFont="1" applyAlignment="1">
      <alignment horizontal="center"/>
    </xf>
    <xf numFmtId="165" fontId="3" fillId="7" borderId="1" xfId="0" applyNumberFormat="1" applyFont="1" applyFill="1" applyBorder="1" applyAlignment="1">
      <alignment horizontal="center" vertical="center"/>
    </xf>
    <xf numFmtId="1" fontId="3" fillId="0" borderId="0" xfId="0" applyNumberFormat="1" applyFont="1" applyAlignment="1">
      <alignment horizontal="center"/>
    </xf>
    <xf numFmtId="1" fontId="17" fillId="0" borderId="0" xfId="0" applyNumberFormat="1" applyFont="1" applyAlignment="1">
      <alignment horizontal="center"/>
    </xf>
    <xf numFmtId="1" fontId="3" fillId="2" borderId="1" xfId="0" applyNumberFormat="1" applyFont="1" applyFill="1" applyBorder="1" applyAlignment="1">
      <alignment horizontal="center"/>
    </xf>
    <xf numFmtId="2" fontId="3" fillId="0" borderId="13" xfId="0" applyNumberFormat="1" applyFont="1" applyBorder="1" applyAlignment="1">
      <alignment horizontal="center"/>
    </xf>
    <xf numFmtId="164" fontId="3" fillId="7" borderId="1" xfId="0" applyNumberFormat="1" applyFont="1" applyFill="1" applyBorder="1" applyAlignment="1">
      <alignment horizontal="center"/>
    </xf>
    <xf numFmtId="0" fontId="2" fillId="6" borderId="0" xfId="0" applyFont="1" applyFill="1"/>
    <xf numFmtId="165" fontId="12" fillId="0" borderId="0" xfId="0" applyNumberFormat="1" applyFont="1"/>
    <xf numFmtId="0" fontId="0" fillId="0" borderId="0" xfId="0" applyAlignment="1">
      <alignment horizontal="center" vertical="center"/>
    </xf>
    <xf numFmtId="2" fontId="12" fillId="0" borderId="0" xfId="0" applyNumberFormat="1" applyFont="1"/>
    <xf numFmtId="0" fontId="3" fillId="0" borderId="1" xfId="0" applyFont="1" applyBorder="1" applyAlignment="1">
      <alignment horizontal="left"/>
    </xf>
    <xf numFmtId="2" fontId="0" fillId="0" borderId="0" xfId="0" applyNumberFormat="1"/>
    <xf numFmtId="4" fontId="3" fillId="2" borderId="1" xfId="0" applyNumberFormat="1" applyFont="1" applyFill="1" applyBorder="1" applyAlignment="1">
      <alignment horizontal="center"/>
    </xf>
    <xf numFmtId="2" fontId="3" fillId="2" borderId="1" xfId="0" applyNumberFormat="1" applyFont="1" applyFill="1" applyBorder="1" applyAlignment="1">
      <alignment horizontal="center"/>
    </xf>
    <xf numFmtId="1" fontId="2" fillId="0" borderId="0" xfId="0" applyNumberFormat="1" applyFont="1" applyAlignment="1">
      <alignment horizontal="center"/>
    </xf>
    <xf numFmtId="0" fontId="3" fillId="6" borderId="0" xfId="0" applyFont="1" applyFill="1"/>
    <xf numFmtId="49" fontId="0" fillId="0" borderId="0" xfId="0" applyNumberFormat="1"/>
    <xf numFmtId="0" fontId="2" fillId="0" borderId="3" xfId="0" applyFont="1" applyBorder="1" applyAlignment="1">
      <alignment horizontal="left"/>
    </xf>
    <xf numFmtId="1" fontId="2" fillId="6" borderId="3" xfId="0" applyNumberFormat="1" applyFont="1" applyFill="1" applyBorder="1" applyAlignment="1">
      <alignment horizontal="center"/>
    </xf>
    <xf numFmtId="164" fontId="2" fillId="0" borderId="3" xfId="0" applyNumberFormat="1" applyFont="1" applyBorder="1" applyAlignment="1">
      <alignment horizontal="center"/>
    </xf>
    <xf numFmtId="0" fontId="3" fillId="0" borderId="12" xfId="0" applyFont="1" applyBorder="1" applyAlignment="1">
      <alignment horizontal="left"/>
    </xf>
    <xf numFmtId="1" fontId="13" fillId="0" borderId="0" xfId="0" applyNumberFormat="1" applyFont="1" applyAlignment="1">
      <alignment horizontal="center"/>
    </xf>
    <xf numFmtId="164" fontId="3" fillId="7" borderId="1" xfId="0" applyNumberFormat="1" applyFont="1" applyFill="1" applyBorder="1" applyAlignment="1">
      <alignment horizontal="center" vertical="center"/>
    </xf>
    <xf numFmtId="1" fontId="2" fillId="7" borderId="1" xfId="0" applyNumberFormat="1" applyFont="1" applyFill="1" applyBorder="1" applyAlignment="1">
      <alignment horizontal="center" vertical="center"/>
    </xf>
    <xf numFmtId="0" fontId="3" fillId="0" borderId="1" xfId="0" applyFont="1" applyBorder="1" applyAlignment="1">
      <alignment horizontal="left" vertical="center"/>
    </xf>
    <xf numFmtId="0" fontId="2" fillId="0" borderId="0" xfId="0" applyFont="1" applyAlignment="1">
      <alignment horizontal="left" vertical="top"/>
    </xf>
    <xf numFmtId="0" fontId="2" fillId="0" borderId="0" xfId="0" applyFont="1" applyAlignment="1">
      <alignment horizontal="center" vertical="center" wrapText="1"/>
    </xf>
    <xf numFmtId="2" fontId="23" fillId="0" borderId="0" xfId="0" applyNumberFormat="1" applyFont="1"/>
    <xf numFmtId="164" fontId="2" fillId="4" borderId="1" xfId="0" applyNumberFormat="1" applyFont="1" applyFill="1" applyBorder="1" applyAlignment="1">
      <alignment horizontal="center"/>
    </xf>
    <xf numFmtId="1" fontId="2" fillId="7" borderId="0" xfId="0" applyNumberFormat="1" applyFont="1" applyFill="1" applyAlignment="1">
      <alignment horizontal="center"/>
    </xf>
    <xf numFmtId="164" fontId="3" fillId="2" borderId="1" xfId="0" applyNumberFormat="1" applyFont="1" applyFill="1" applyBorder="1" applyAlignment="1">
      <alignment horizontal="left" vertical="center"/>
    </xf>
    <xf numFmtId="0" fontId="3" fillId="2" borderId="1" xfId="0" applyFont="1" applyFill="1" applyBorder="1" applyAlignment="1">
      <alignment horizontal="left" vertical="center" wrapText="1"/>
    </xf>
    <xf numFmtId="0" fontId="3" fillId="0" borderId="1" xfId="0" applyFont="1" applyBorder="1" applyAlignment="1">
      <alignment vertical="center"/>
    </xf>
    <xf numFmtId="0" fontId="3" fillId="2" borderId="1" xfId="0" applyFont="1" applyFill="1" applyBorder="1" applyAlignment="1">
      <alignment vertical="center" wrapText="1"/>
    </xf>
    <xf numFmtId="0" fontId="3" fillId="0" borderId="0" xfId="0" applyFont="1" applyAlignment="1">
      <alignment vertical="center" wrapText="1"/>
    </xf>
    <xf numFmtId="164" fontId="3" fillId="2" borderId="1" xfId="0" applyNumberFormat="1" applyFont="1" applyFill="1" applyBorder="1" applyAlignment="1">
      <alignment vertical="center"/>
    </xf>
    <xf numFmtId="0" fontId="3" fillId="0" borderId="0" xfId="0" applyFont="1" applyAlignment="1">
      <alignment horizontal="left" vertical="center"/>
    </xf>
    <xf numFmtId="165" fontId="3" fillId="2" borderId="1" xfId="0" applyNumberFormat="1" applyFont="1" applyFill="1" applyBorder="1" applyAlignment="1">
      <alignment horizontal="left" vertical="center" wrapText="1"/>
    </xf>
    <xf numFmtId="165" fontId="2" fillId="0" borderId="0" xfId="0" applyNumberFormat="1" applyFont="1" applyAlignment="1">
      <alignment horizontal="left"/>
    </xf>
    <xf numFmtId="0" fontId="2" fillId="0" borderId="0" xfId="0" applyFont="1" applyAlignment="1">
      <alignment horizontal="left" vertical="center"/>
    </xf>
    <xf numFmtId="0" fontId="19" fillId="0" borderId="1" xfId="0" applyFont="1" applyBorder="1" applyAlignment="1">
      <alignment vertical="center"/>
    </xf>
    <xf numFmtId="0" fontId="19" fillId="0" borderId="1" xfId="0" applyFont="1" applyBorder="1" applyAlignment="1">
      <alignment horizontal="center" vertical="center"/>
    </xf>
    <xf numFmtId="0" fontId="21" fillId="0" borderId="1" xfId="0" applyFont="1" applyBorder="1" applyAlignment="1">
      <alignment horizontal="center" vertical="center"/>
    </xf>
    <xf numFmtId="0" fontId="21" fillId="0" borderId="1" xfId="0" applyFont="1" applyBorder="1" applyAlignment="1">
      <alignment vertical="center" wrapText="1"/>
    </xf>
    <xf numFmtId="0" fontId="25" fillId="0" borderId="0" xfId="0" applyFont="1" applyAlignment="1">
      <alignment horizontal="left"/>
    </xf>
    <xf numFmtId="0" fontId="22" fillId="0" borderId="0" xfId="0" applyFont="1" applyAlignment="1">
      <alignment horizontal="left"/>
    </xf>
    <xf numFmtId="166" fontId="26" fillId="0" borderId="1" xfId="0" applyNumberFormat="1" applyFont="1" applyBorder="1" applyAlignment="1">
      <alignment horizontal="left"/>
    </xf>
    <xf numFmtId="0" fontId="15" fillId="0" borderId="1" xfId="0" applyFont="1" applyBorder="1"/>
    <xf numFmtId="166" fontId="15" fillId="0" borderId="0" xfId="0" applyNumberFormat="1" applyFont="1"/>
    <xf numFmtId="166" fontId="15" fillId="0" borderId="0" xfId="0" applyNumberFormat="1" applyFont="1" applyAlignment="1">
      <alignment horizontal="center"/>
    </xf>
    <xf numFmtId="166" fontId="22" fillId="0" borderId="0" xfId="0" applyNumberFormat="1" applyFont="1"/>
    <xf numFmtId="1" fontId="26" fillId="0" borderId="1" xfId="0" applyNumberFormat="1" applyFont="1" applyBorder="1" applyAlignment="1">
      <alignment horizontal="left"/>
    </xf>
    <xf numFmtId="166" fontId="15" fillId="0" borderId="0" xfId="0" applyNumberFormat="1" applyFont="1" applyAlignment="1">
      <alignment horizontal="left"/>
    </xf>
    <xf numFmtId="2" fontId="22" fillId="0" borderId="0" xfId="0" applyNumberFormat="1" applyFont="1"/>
    <xf numFmtId="166" fontId="15" fillId="0" borderId="1" xfId="0" applyNumberFormat="1" applyFont="1" applyBorder="1" applyAlignment="1">
      <alignment horizontal="center"/>
    </xf>
    <xf numFmtId="166" fontId="22" fillId="0" borderId="0" xfId="0" applyNumberFormat="1" applyFont="1" applyAlignment="1">
      <alignment horizontal="center"/>
    </xf>
    <xf numFmtId="166" fontId="22" fillId="0" borderId="1" xfId="0" applyNumberFormat="1" applyFont="1" applyBorder="1" applyAlignment="1">
      <alignment horizontal="center"/>
    </xf>
    <xf numFmtId="166" fontId="22" fillId="0" borderId="1" xfId="0" applyNumberFormat="1" applyFont="1" applyBorder="1"/>
    <xf numFmtId="0" fontId="2" fillId="0" borderId="11" xfId="0" applyFont="1" applyBorder="1"/>
    <xf numFmtId="0" fontId="3" fillId="2" borderId="0" xfId="0" applyFont="1" applyFill="1" applyAlignment="1">
      <alignment horizontal="left"/>
    </xf>
    <xf numFmtId="0" fontId="3" fillId="2" borderId="5" xfId="0" applyFont="1" applyFill="1" applyBorder="1" applyAlignment="1">
      <alignment horizontal="center"/>
    </xf>
    <xf numFmtId="0" fontId="3" fillId="2" borderId="5" xfId="0" applyFont="1" applyFill="1" applyBorder="1" applyAlignment="1">
      <alignment horizontal="left"/>
    </xf>
    <xf numFmtId="0" fontId="3" fillId="0" borderId="7" xfId="0" applyFont="1" applyBorder="1" applyAlignment="1">
      <alignment horizontal="center" vertical="center" wrapText="1"/>
    </xf>
    <xf numFmtId="166" fontId="2" fillId="0" borderId="13" xfId="0" applyNumberFormat="1" applyFont="1" applyBorder="1"/>
    <xf numFmtId="166" fontId="3" fillId="0" borderId="13" xfId="0" applyNumberFormat="1" applyFont="1" applyBorder="1" applyAlignment="1">
      <alignment horizontal="center" vertical="center"/>
    </xf>
    <xf numFmtId="166" fontId="3" fillId="0" borderId="6" xfId="0" applyNumberFormat="1" applyFont="1" applyBorder="1" applyAlignment="1">
      <alignment horizontal="center" vertical="center"/>
    </xf>
    <xf numFmtId="0" fontId="27" fillId="0" borderId="0" xfId="0" applyFont="1" applyAlignment="1">
      <alignment horizontal="left"/>
    </xf>
    <xf numFmtId="0" fontId="0" fillId="2" borderId="0" xfId="0" applyFill="1"/>
    <xf numFmtId="0" fontId="2" fillId="0" borderId="0" xfId="0" applyFont="1" applyAlignment="1">
      <alignment horizontal="center" wrapText="1"/>
    </xf>
    <xf numFmtId="1" fontId="2" fillId="6" borderId="2" xfId="0" applyNumberFormat="1" applyFont="1" applyFill="1" applyBorder="1" applyAlignment="1" applyProtection="1">
      <alignment horizontal="center"/>
      <protection locked="0"/>
    </xf>
    <xf numFmtId="0" fontId="6" fillId="0" borderId="1" xfId="0" applyFont="1" applyBorder="1" applyAlignment="1">
      <alignment vertical="top" wrapText="1"/>
    </xf>
    <xf numFmtId="166" fontId="2" fillId="7" borderId="1" xfId="0" applyNumberFormat="1" applyFont="1" applyFill="1" applyBorder="1" applyAlignment="1">
      <alignment horizontal="center"/>
    </xf>
    <xf numFmtId="0" fontId="3" fillId="0" borderId="1" xfId="0" applyFont="1" applyBorder="1" applyAlignment="1">
      <alignment horizontal="left" vertical="center" wrapText="1"/>
    </xf>
    <xf numFmtId="166" fontId="3" fillId="0" borderId="1" xfId="0" applyNumberFormat="1" applyFont="1" applyBorder="1" applyAlignment="1">
      <alignment horizontal="center" vertical="center"/>
    </xf>
    <xf numFmtId="0" fontId="28" fillId="0" borderId="0" xfId="0" applyFont="1"/>
    <xf numFmtId="0" fontId="15" fillId="6" borderId="1" xfId="0" applyFont="1" applyFill="1" applyBorder="1" applyAlignment="1">
      <alignment horizontal="center"/>
    </xf>
    <xf numFmtId="0" fontId="29" fillId="6" borderId="1" xfId="0" applyFont="1" applyFill="1" applyBorder="1" applyAlignment="1">
      <alignment horizontal="center"/>
    </xf>
    <xf numFmtId="0" fontId="2" fillId="3" borderId="1" xfId="0" applyFont="1" applyFill="1" applyBorder="1" applyAlignment="1">
      <alignment horizontal="center"/>
    </xf>
    <xf numFmtId="166" fontId="30" fillId="7" borderId="1" xfId="0" applyNumberFormat="1" applyFont="1" applyFill="1" applyBorder="1" applyAlignment="1">
      <alignment horizontal="center" vertical="center"/>
    </xf>
    <xf numFmtId="2" fontId="2" fillId="3" borderId="1" xfId="0" applyNumberFormat="1" applyFont="1" applyFill="1" applyBorder="1" applyAlignment="1">
      <alignment horizontal="center"/>
    </xf>
    <xf numFmtId="0" fontId="12" fillId="0" borderId="1" xfId="0" applyFont="1" applyBorder="1"/>
    <xf numFmtId="0" fontId="13" fillId="0" borderId="1" xfId="0" applyFont="1" applyBorder="1"/>
    <xf numFmtId="166" fontId="3" fillId="2" borderId="1" xfId="0" applyNumberFormat="1" applyFont="1" applyFill="1" applyBorder="1" applyAlignment="1">
      <alignment horizontal="center"/>
    </xf>
    <xf numFmtId="0" fontId="1" fillId="0" borderId="1" xfId="0" applyFont="1" applyBorder="1" applyAlignment="1">
      <alignment horizontal="center"/>
    </xf>
    <xf numFmtId="166" fontId="33" fillId="7" borderId="1" xfId="0" applyNumberFormat="1" applyFont="1" applyFill="1" applyBorder="1" applyAlignment="1">
      <alignment horizontal="center" vertical="center"/>
    </xf>
    <xf numFmtId="166" fontId="2" fillId="3" borderId="1" xfId="0" applyNumberFormat="1" applyFont="1" applyFill="1" applyBorder="1" applyAlignment="1">
      <alignment horizontal="center"/>
    </xf>
    <xf numFmtId="0" fontId="31" fillId="4" borderId="0" xfId="0" applyFont="1" applyFill="1"/>
    <xf numFmtId="0" fontId="31" fillId="6" borderId="0" xfId="0" applyFont="1" applyFill="1"/>
    <xf numFmtId="0" fontId="6" fillId="0" borderId="1" xfId="0" applyFont="1" applyBorder="1" applyAlignment="1">
      <alignment horizontal="left" vertical="center"/>
    </xf>
    <xf numFmtId="166" fontId="2" fillId="0" borderId="13" xfId="0" applyNumberFormat="1" applyFont="1" applyBorder="1" applyAlignment="1">
      <alignment horizontal="left" vertical="center"/>
    </xf>
    <xf numFmtId="164" fontId="3" fillId="0" borderId="1" xfId="0" applyNumberFormat="1" applyFont="1" applyBorder="1" applyAlignment="1">
      <alignment horizontal="center" vertical="center"/>
    </xf>
    <xf numFmtId="165" fontId="3" fillId="0" borderId="13" xfId="0" applyNumberFormat="1" applyFont="1" applyBorder="1" applyAlignment="1">
      <alignment horizontal="center"/>
    </xf>
    <xf numFmtId="164" fontId="3" fillId="2" borderId="1" xfId="0" applyNumberFormat="1" applyFont="1" applyFill="1" applyBorder="1" applyAlignment="1">
      <alignment horizontal="left" vertical="center" wrapText="1"/>
    </xf>
    <xf numFmtId="0" fontId="2" fillId="0" borderId="14" xfId="0" applyFont="1" applyBorder="1" applyAlignment="1">
      <alignment horizontal="center"/>
    </xf>
    <xf numFmtId="0" fontId="2" fillId="8" borderId="1" xfId="0" applyFont="1" applyFill="1" applyBorder="1" applyAlignment="1">
      <alignment horizontal="center"/>
    </xf>
    <xf numFmtId="0" fontId="2" fillId="0" borderId="1" xfId="0" applyFont="1" applyBorder="1" applyAlignment="1">
      <alignment horizontal="center" vertical="top" wrapText="1"/>
    </xf>
    <xf numFmtId="1" fontId="2" fillId="6" borderId="6" xfId="0" applyNumberFormat="1" applyFont="1" applyFill="1" applyBorder="1" applyAlignment="1" applyProtection="1">
      <alignment horizontal="center"/>
      <protection locked="0"/>
    </xf>
    <xf numFmtId="0" fontId="3" fillId="0" borderId="0" xfId="0" applyFont="1" applyAlignment="1">
      <alignment horizontal="center" vertical="top" wrapText="1"/>
    </xf>
    <xf numFmtId="0" fontId="3" fillId="0" borderId="9" xfId="0" applyFont="1" applyBorder="1" applyAlignment="1">
      <alignment horizontal="center"/>
    </xf>
    <xf numFmtId="0" fontId="3" fillId="0" borderId="14" xfId="0" applyFont="1" applyBorder="1" applyAlignment="1">
      <alignment horizontal="center"/>
    </xf>
    <xf numFmtId="0" fontId="2" fillId="0" borderId="14" xfId="0" applyFont="1" applyBorder="1"/>
    <xf numFmtId="0" fontId="0" fillId="0" borderId="0" xfId="0" applyAlignment="1">
      <alignment horizontal="center"/>
    </xf>
    <xf numFmtId="165" fontId="0" fillId="2" borderId="1" xfId="0" applyNumberFormat="1" applyFill="1" applyBorder="1" applyAlignment="1">
      <alignment horizontal="center"/>
    </xf>
    <xf numFmtId="165" fontId="2" fillId="0" borderId="6" xfId="0" applyNumberFormat="1" applyFont="1" applyBorder="1" applyAlignment="1">
      <alignment horizontal="center"/>
    </xf>
    <xf numFmtId="165" fontId="0" fillId="2" borderId="6" xfId="0" applyNumberFormat="1" applyFill="1" applyBorder="1" applyAlignment="1">
      <alignment horizontal="center"/>
    </xf>
    <xf numFmtId="165" fontId="34" fillId="9" borderId="22" xfId="0" applyNumberFormat="1" applyFont="1" applyFill="1" applyBorder="1" applyAlignment="1">
      <alignment horizontal="center" vertical="center"/>
    </xf>
    <xf numFmtId="165" fontId="34" fillId="9" borderId="23" xfId="0" applyNumberFormat="1" applyFont="1" applyFill="1" applyBorder="1" applyAlignment="1">
      <alignment horizontal="center" vertical="center"/>
    </xf>
    <xf numFmtId="165" fontId="2" fillId="0" borderId="14" xfId="0" applyNumberFormat="1" applyFont="1" applyBorder="1" applyAlignment="1">
      <alignment horizontal="center"/>
    </xf>
    <xf numFmtId="2" fontId="2" fillId="9" borderId="1" xfId="0" applyNumberFormat="1" applyFont="1" applyFill="1" applyBorder="1" applyAlignment="1">
      <alignment horizontal="center"/>
    </xf>
    <xf numFmtId="0" fontId="2" fillId="9" borderId="1" xfId="0" applyFont="1" applyFill="1" applyBorder="1" applyAlignment="1">
      <alignment horizontal="center"/>
    </xf>
    <xf numFmtId="165" fontId="2" fillId="9" borderId="1" xfId="0" applyNumberFormat="1" applyFont="1" applyFill="1" applyBorder="1" applyAlignment="1">
      <alignment horizontal="center"/>
    </xf>
    <xf numFmtId="0" fontId="2" fillId="9" borderId="6" xfId="0" applyFont="1" applyFill="1" applyBorder="1" applyAlignment="1">
      <alignment horizontal="center"/>
    </xf>
    <xf numFmtId="165" fontId="2" fillId="9" borderId="13" xfId="0" applyNumberFormat="1" applyFont="1" applyFill="1" applyBorder="1" applyAlignment="1">
      <alignment horizontal="center"/>
    </xf>
    <xf numFmtId="166" fontId="3" fillId="0" borderId="1" xfId="0" applyNumberFormat="1" applyFont="1" applyBorder="1" applyAlignment="1">
      <alignment horizontal="center"/>
      <extLst>
        <ext xmlns:xfpb="http://schemas.microsoft.com/office/spreadsheetml/2022/featurepropertybag" uri="{C7286773-470A-42A8-94C5-96B5CB345126}">
          <xfpb:xfComplement i="0"/>
        </ext>
      </extLst>
    </xf>
    <xf numFmtId="165" fontId="22" fillId="10" borderId="1" xfId="0" applyNumberFormat="1" applyFont="1" applyFill="1" applyBorder="1" applyAlignment="1">
      <alignment horizontal="center" vertical="center"/>
    </xf>
    <xf numFmtId="0" fontId="39" fillId="6" borderId="0" xfId="0" applyFont="1" applyFill="1"/>
    <xf numFmtId="0" fontId="39" fillId="4" borderId="0" xfId="0" applyFont="1" applyFill="1"/>
    <xf numFmtId="165" fontId="22" fillId="10" borderId="18" xfId="0" applyNumberFormat="1" applyFont="1" applyFill="1" applyBorder="1" applyAlignment="1">
      <alignment horizontal="center" vertical="center" wrapText="1"/>
    </xf>
    <xf numFmtId="0" fontId="2" fillId="0" borderId="17" xfId="0" applyFont="1" applyBorder="1" applyAlignment="1">
      <alignment horizontal="center"/>
    </xf>
    <xf numFmtId="0" fontId="2" fillId="0" borderId="20" xfId="0" applyFont="1" applyBorder="1" applyAlignment="1">
      <alignment horizontal="center"/>
    </xf>
    <xf numFmtId="165" fontId="22" fillId="10" borderId="3" xfId="0" applyNumberFormat="1" applyFont="1" applyFill="1" applyBorder="1" applyAlignment="1">
      <alignment horizontal="center" vertical="center" wrapText="1"/>
    </xf>
    <xf numFmtId="165" fontId="22" fillId="10" borderId="21" xfId="0" applyNumberFormat="1" applyFont="1" applyFill="1" applyBorder="1" applyAlignment="1">
      <alignment horizontal="center" vertical="center"/>
    </xf>
    <xf numFmtId="165" fontId="22" fillId="10" borderId="4" xfId="0" applyNumberFormat="1" applyFont="1" applyFill="1" applyBorder="1" applyAlignment="1">
      <alignment horizontal="center" vertical="center" wrapText="1"/>
    </xf>
    <xf numFmtId="165" fontId="22" fillId="10" borderId="24" xfId="0" applyNumberFormat="1" applyFont="1" applyFill="1" applyBorder="1" applyAlignment="1">
      <alignment horizontal="center" vertical="center" wrapText="1"/>
    </xf>
    <xf numFmtId="0" fontId="2" fillId="6" borderId="13" xfId="0" applyFont="1" applyFill="1" applyBorder="1" applyAlignment="1">
      <alignment horizontal="center"/>
    </xf>
    <xf numFmtId="0" fontId="2" fillId="6" borderId="24" xfId="0" applyFont="1" applyFill="1" applyBorder="1" applyAlignment="1">
      <alignment horizontal="center"/>
    </xf>
    <xf numFmtId="165" fontId="22" fillId="10" borderId="19" xfId="0" applyNumberFormat="1" applyFont="1" applyFill="1" applyBorder="1" applyAlignment="1">
      <alignment horizontal="center" vertical="center" wrapText="1"/>
    </xf>
    <xf numFmtId="0" fontId="2" fillId="0" borderId="25" xfId="0" applyFont="1" applyBorder="1" applyAlignment="1">
      <alignment horizontal="center"/>
    </xf>
    <xf numFmtId="0" fontId="2" fillId="0" borderId="26" xfId="0" applyFont="1" applyBorder="1"/>
    <xf numFmtId="165" fontId="22" fillId="10" borderId="6" xfId="0" applyNumberFormat="1" applyFont="1" applyFill="1" applyBorder="1" applyAlignment="1">
      <alignment horizontal="center" vertical="center"/>
    </xf>
    <xf numFmtId="0" fontId="2" fillId="9" borderId="2" xfId="0" applyFont="1" applyFill="1" applyBorder="1" applyAlignment="1">
      <alignment horizontal="center"/>
    </xf>
    <xf numFmtId="165" fontId="22" fillId="10" borderId="13" xfId="0" applyNumberFormat="1" applyFont="1" applyFill="1" applyBorder="1" applyAlignment="1">
      <alignment horizontal="center" vertical="center"/>
    </xf>
    <xf numFmtId="166" fontId="0" fillId="2" borderId="6" xfId="0" applyNumberFormat="1" applyFill="1" applyBorder="1" applyAlignment="1">
      <alignment horizontal="center"/>
    </xf>
    <xf numFmtId="166" fontId="0" fillId="2" borderId="1" xfId="0" applyNumberFormat="1" applyFill="1" applyBorder="1" applyAlignment="1">
      <alignment horizontal="center"/>
    </xf>
    <xf numFmtId="166" fontId="2" fillId="9" borderId="1" xfId="0" applyNumberFormat="1" applyFont="1" applyFill="1" applyBorder="1" applyAlignment="1">
      <alignment horizontal="center"/>
    </xf>
    <xf numFmtId="166" fontId="2" fillId="9" borderId="13" xfId="0" applyNumberFormat="1" applyFont="1" applyFill="1" applyBorder="1" applyAlignment="1">
      <alignment horizontal="center"/>
    </xf>
    <xf numFmtId="1" fontId="3" fillId="0" borderId="1" xfId="0" applyNumberFormat="1" applyFont="1" applyBorder="1" applyAlignment="1">
      <alignment horizontal="center"/>
    </xf>
    <xf numFmtId="1" fontId="13" fillId="0" borderId="6" xfId="0" applyNumberFormat="1" applyFont="1" applyBorder="1" applyAlignment="1">
      <alignment horizontal="center"/>
    </xf>
    <xf numFmtId="1" fontId="2" fillId="2" borderId="1" xfId="0" applyNumberFormat="1" applyFont="1" applyFill="1" applyBorder="1" applyAlignment="1">
      <alignment horizontal="center"/>
    </xf>
    <xf numFmtId="0" fontId="40" fillId="0" borderId="0" xfId="0" applyFont="1"/>
    <xf numFmtId="166" fontId="2" fillId="9" borderId="1" xfId="0" applyNumberFormat="1" applyFont="1" applyFill="1" applyBorder="1"/>
    <xf numFmtId="166" fontId="3" fillId="9" borderId="1" xfId="0" applyNumberFormat="1" applyFont="1" applyFill="1" applyBorder="1"/>
    <xf numFmtId="166" fontId="2" fillId="9" borderId="0" xfId="0" applyNumberFormat="1" applyFont="1" applyFill="1"/>
    <xf numFmtId="166" fontId="0" fillId="9" borderId="0" xfId="0" applyNumberFormat="1" applyFill="1"/>
    <xf numFmtId="0" fontId="2" fillId="0" borderId="10" xfId="0" applyFont="1" applyBorder="1" applyAlignment="1">
      <alignment horizontal="center"/>
    </xf>
    <xf numFmtId="0" fontId="3" fillId="2" borderId="12" xfId="0" applyFont="1" applyFill="1" applyBorder="1" applyAlignment="1">
      <alignment horizontal="left"/>
    </xf>
    <xf numFmtId="0" fontId="3" fillId="2" borderId="0" xfId="0" applyFont="1" applyFill="1" applyAlignment="1">
      <alignment horizontal="center"/>
    </xf>
    <xf numFmtId="0" fontId="0" fillId="0" borderId="1" xfId="0" applyBorder="1"/>
    <xf numFmtId="0" fontId="2" fillId="9" borderId="1" xfId="0" applyFont="1" applyFill="1" applyBorder="1"/>
    <xf numFmtId="0" fontId="1" fillId="0" borderId="1" xfId="0" applyFont="1" applyBorder="1"/>
    <xf numFmtId="2" fontId="0" fillId="0" borderId="1" xfId="0" applyNumberFormat="1" applyBorder="1"/>
    <xf numFmtId="0" fontId="3" fillId="2" borderId="5" xfId="0" applyFont="1" applyFill="1" applyBorder="1"/>
    <xf numFmtId="0" fontId="2" fillId="9" borderId="3" xfId="0" applyFont="1" applyFill="1" applyBorder="1"/>
    <xf numFmtId="0" fontId="2" fillId="9" borderId="7" xfId="0" applyFont="1" applyFill="1" applyBorder="1"/>
    <xf numFmtId="0" fontId="0" fillId="2" borderId="0" xfId="0" applyFill="1" applyAlignment="1">
      <alignment wrapText="1"/>
    </xf>
    <xf numFmtId="165" fontId="0" fillId="0" borderId="1" xfId="0" applyNumberFormat="1" applyBorder="1"/>
    <xf numFmtId="0" fontId="35" fillId="10" borderId="1" xfId="0" applyFont="1" applyFill="1" applyBorder="1"/>
    <xf numFmtId="0" fontId="1" fillId="10" borderId="1" xfId="0" applyFont="1" applyFill="1" applyBorder="1" applyAlignment="1">
      <alignment wrapText="1"/>
    </xf>
    <xf numFmtId="0" fontId="1" fillId="10" borderId="1" xfId="0" applyFont="1" applyFill="1" applyBorder="1"/>
    <xf numFmtId="166" fontId="2" fillId="2" borderId="1" xfId="0" applyNumberFormat="1" applyFont="1" applyFill="1" applyBorder="1" applyAlignment="1">
      <alignment horizontal="center"/>
    </xf>
    <xf numFmtId="166" fontId="33" fillId="9" borderId="1" xfId="0" applyNumberFormat="1" applyFont="1" applyFill="1" applyBorder="1" applyAlignment="1">
      <alignment horizontal="center" vertical="center"/>
    </xf>
    <xf numFmtId="0" fontId="30" fillId="0" borderId="1" xfId="0" applyFont="1" applyBorder="1" applyAlignment="1">
      <alignment horizontal="left" vertical="center" wrapText="1"/>
    </xf>
    <xf numFmtId="0" fontId="30" fillId="0" borderId="1" xfId="0" applyFont="1" applyBorder="1" applyAlignment="1">
      <alignment horizontal="left" vertical="center"/>
    </xf>
    <xf numFmtId="0" fontId="1" fillId="2" borderId="0" xfId="0" applyFont="1" applyFill="1"/>
    <xf numFmtId="0" fontId="43" fillId="0" borderId="0" xfId="0" applyFont="1"/>
    <xf numFmtId="0" fontId="44" fillId="0" borderId="0" xfId="0" applyFont="1" applyAlignment="1">
      <alignment horizontal="left"/>
    </xf>
    <xf numFmtId="0" fontId="45" fillId="0" borderId="0" xfId="0" applyFont="1" applyAlignment="1">
      <alignment vertical="center"/>
    </xf>
    <xf numFmtId="0" fontId="45" fillId="0" borderId="0" xfId="0" applyFont="1" applyAlignment="1">
      <alignment horizontal="right" vertical="center"/>
    </xf>
    <xf numFmtId="165" fontId="2" fillId="0" borderId="0" xfId="0" applyNumberFormat="1" applyFont="1" applyAlignment="1">
      <alignment horizontal="left" vertical="top" wrapText="1"/>
    </xf>
    <xf numFmtId="165" fontId="2" fillId="0" borderId="13" xfId="0" applyNumberFormat="1" applyFont="1" applyBorder="1"/>
    <xf numFmtId="0" fontId="0" fillId="6" borderId="1" xfId="0" applyFill="1" applyBorder="1"/>
    <xf numFmtId="0" fontId="2" fillId="0" borderId="12" xfId="0" applyFont="1" applyBorder="1"/>
    <xf numFmtId="0" fontId="2" fillId="0" borderId="8" xfId="0" applyFont="1" applyBorder="1" applyAlignment="1">
      <alignment horizontal="center"/>
    </xf>
    <xf numFmtId="0" fontId="2" fillId="0" borderId="9" xfId="0" applyFont="1" applyBorder="1" applyAlignment="1">
      <alignment horizontal="center"/>
    </xf>
    <xf numFmtId="1" fontId="2" fillId="6" borderId="6" xfId="0" applyNumberFormat="1" applyFont="1" applyFill="1" applyBorder="1" applyAlignment="1">
      <alignment horizontal="center"/>
    </xf>
    <xf numFmtId="0" fontId="3" fillId="0" borderId="13" xfId="0" applyFont="1" applyBorder="1"/>
    <xf numFmtId="0" fontId="3" fillId="0" borderId="13" xfId="0" applyFont="1" applyBorder="1" applyAlignment="1">
      <alignment horizontal="left"/>
    </xf>
    <xf numFmtId="0" fontId="44" fillId="0" borderId="0" xfId="0" applyFont="1" applyAlignment="1">
      <alignment horizontal="center" wrapText="1"/>
    </xf>
    <xf numFmtId="16" fontId="3" fillId="0" borderId="1" xfId="0" applyNumberFormat="1" applyFont="1" applyBorder="1" applyAlignment="1">
      <alignment horizontal="center"/>
    </xf>
    <xf numFmtId="0" fontId="5" fillId="10" borderId="16" xfId="0" applyFont="1" applyFill="1" applyBorder="1" applyProtection="1">
      <protection locked="0"/>
    </xf>
    <xf numFmtId="0" fontId="5" fillId="10" borderId="1" xfId="0" applyFont="1" applyFill="1" applyBorder="1" applyProtection="1">
      <protection locked="0"/>
    </xf>
    <xf numFmtId="0" fontId="5" fillId="10" borderId="1" xfId="0" applyFont="1" applyFill="1" applyBorder="1" applyAlignment="1" applyProtection="1">
      <alignment horizontal="center" vertical="center"/>
      <protection locked="0"/>
    </xf>
    <xf numFmtId="0" fontId="5" fillId="10" borderId="1" xfId="0" applyFont="1" applyFill="1" applyBorder="1" applyAlignment="1" applyProtection="1">
      <alignment horizontal="center"/>
      <protection locked="0"/>
    </xf>
    <xf numFmtId="165" fontId="22" fillId="10" borderId="1" xfId="0" applyNumberFormat="1" applyFont="1" applyFill="1" applyBorder="1" applyAlignment="1">
      <alignment horizontal="center" vertical="center" wrapText="1"/>
    </xf>
    <xf numFmtId="0" fontId="3" fillId="10" borderId="8" xfId="0" applyFont="1" applyFill="1" applyBorder="1" applyAlignment="1">
      <alignment horizontal="center" vertical="center"/>
    </xf>
    <xf numFmtId="0" fontId="3" fillId="10" borderId="10" xfId="0" applyFont="1" applyFill="1" applyBorder="1" applyAlignment="1">
      <alignment horizontal="center" vertical="center"/>
    </xf>
    <xf numFmtId="0" fontId="3" fillId="10" borderId="6" xfId="0" applyFont="1" applyFill="1" applyBorder="1" applyAlignment="1">
      <alignment horizontal="center"/>
    </xf>
    <xf numFmtId="0" fontId="3" fillId="10" borderId="1" xfId="0" applyFont="1" applyFill="1" applyBorder="1" applyAlignment="1">
      <alignment horizontal="center" vertical="center"/>
    </xf>
    <xf numFmtId="0" fontId="3" fillId="10" borderId="7" xfId="0" applyFont="1" applyFill="1" applyBorder="1" applyAlignment="1">
      <alignment horizontal="center" vertical="center" wrapText="1"/>
    </xf>
    <xf numFmtId="0" fontId="3" fillId="10" borderId="7" xfId="0" applyFont="1" applyFill="1" applyBorder="1" applyAlignment="1">
      <alignment horizontal="center" wrapText="1"/>
    </xf>
    <xf numFmtId="0" fontId="3" fillId="10" borderId="1" xfId="0" applyFont="1" applyFill="1" applyBorder="1" applyAlignment="1">
      <alignment horizontal="center"/>
    </xf>
    <xf numFmtId="16" fontId="3" fillId="10" borderId="1" xfId="0" applyNumberFormat="1" applyFont="1" applyFill="1" applyBorder="1" applyAlignment="1">
      <alignment horizontal="center"/>
    </xf>
    <xf numFmtId="0" fontId="3" fillId="10" borderId="1" xfId="0" applyFont="1" applyFill="1" applyBorder="1" applyAlignment="1">
      <alignment horizontal="center" wrapText="1"/>
    </xf>
    <xf numFmtId="49" fontId="3" fillId="10" borderId="1" xfId="0" applyNumberFormat="1" applyFont="1" applyFill="1" applyBorder="1" applyAlignment="1">
      <alignment horizontal="center"/>
    </xf>
    <xf numFmtId="0" fontId="3" fillId="10" borderId="0" xfId="0" applyFont="1" applyFill="1"/>
    <xf numFmtId="0" fontId="2" fillId="10" borderId="0" xfId="0" applyFont="1" applyFill="1"/>
    <xf numFmtId="0" fontId="2" fillId="10" borderId="1" xfId="0" applyFont="1" applyFill="1" applyBorder="1" applyAlignment="1">
      <alignment horizontal="center"/>
    </xf>
    <xf numFmtId="0" fontId="0" fillId="10" borderId="0" xfId="0" applyFill="1"/>
    <xf numFmtId="0" fontId="3" fillId="10" borderId="1" xfId="0" applyFont="1" applyFill="1" applyBorder="1" applyAlignment="1">
      <alignment horizontal="left" vertical="center"/>
    </xf>
    <xf numFmtId="0" fontId="3" fillId="10" borderId="1" xfId="0" applyFont="1" applyFill="1" applyBorder="1"/>
    <xf numFmtId="0" fontId="3" fillId="10" borderId="1" xfId="0" applyFont="1" applyFill="1" applyBorder="1" applyAlignment="1">
      <alignment wrapText="1"/>
    </xf>
    <xf numFmtId="2" fontId="3" fillId="10" borderId="7" xfId="0" applyNumberFormat="1" applyFont="1" applyFill="1" applyBorder="1" applyAlignment="1">
      <alignment horizontal="center" vertical="center"/>
    </xf>
    <xf numFmtId="0" fontId="3" fillId="10" borderId="1" xfId="0" applyFont="1" applyFill="1" applyBorder="1" applyAlignment="1">
      <alignment horizontal="center" vertical="center" wrapText="1"/>
    </xf>
    <xf numFmtId="165" fontId="3" fillId="10" borderId="1" xfId="0" applyNumberFormat="1" applyFont="1" applyFill="1" applyBorder="1" applyAlignment="1">
      <alignment horizontal="center"/>
    </xf>
    <xf numFmtId="0" fontId="3" fillId="0" borderId="10" xfId="0" applyFont="1" applyBorder="1" applyAlignment="1">
      <alignment horizontal="center"/>
    </xf>
    <xf numFmtId="0" fontId="9" fillId="0" borderId="0" xfId="0" applyFont="1"/>
    <xf numFmtId="0" fontId="6" fillId="8" borderId="1" xfId="0" applyFont="1" applyFill="1" applyBorder="1" applyAlignment="1">
      <alignment horizontal="left"/>
    </xf>
    <xf numFmtId="0" fontId="2" fillId="8" borderId="1" xfId="0" applyFont="1" applyFill="1" applyBorder="1" applyAlignment="1">
      <alignment horizontal="left"/>
    </xf>
    <xf numFmtId="0" fontId="4" fillId="0" borderId="1" xfId="0" applyFont="1" applyBorder="1" applyAlignment="1">
      <alignment horizontal="left"/>
    </xf>
    <xf numFmtId="0" fontId="47" fillId="0" borderId="1" xfId="0" applyFont="1" applyBorder="1"/>
    <xf numFmtId="0" fontId="8" fillId="0" borderId="1" xfId="0" applyFont="1" applyBorder="1" applyAlignment="1">
      <alignment horizontal="left"/>
    </xf>
    <xf numFmtId="166" fontId="2" fillId="9" borderId="6" xfId="0" applyNumberFormat="1" applyFont="1" applyFill="1" applyBorder="1"/>
    <xf numFmtId="166" fontId="3" fillId="9" borderId="6" xfId="0" applyNumberFormat="1" applyFont="1" applyFill="1" applyBorder="1"/>
    <xf numFmtId="0" fontId="47" fillId="0" borderId="1" xfId="0" applyFont="1" applyBorder="1" applyAlignment="1">
      <alignment horizontal="left"/>
    </xf>
    <xf numFmtId="2" fontId="3" fillId="10" borderId="1" xfId="0" applyNumberFormat="1" applyFont="1" applyFill="1" applyBorder="1" applyAlignment="1">
      <alignment horizontal="center"/>
    </xf>
    <xf numFmtId="165" fontId="3" fillId="10" borderId="1" xfId="0" applyNumberFormat="1" applyFont="1" applyFill="1" applyBorder="1" applyAlignment="1">
      <alignment horizontal="left"/>
    </xf>
    <xf numFmtId="2" fontId="22" fillId="10" borderId="1" xfId="0" applyNumberFormat="1" applyFont="1" applyFill="1" applyBorder="1" applyAlignment="1">
      <alignment horizontal="center"/>
    </xf>
    <xf numFmtId="0" fontId="6" fillId="0" borderId="1" xfId="0" applyFont="1" applyBorder="1" applyAlignment="1">
      <alignment horizontal="center"/>
    </xf>
    <xf numFmtId="165" fontId="3" fillId="0" borderId="13" xfId="0" applyNumberFormat="1" applyFont="1" applyBorder="1" applyAlignment="1">
      <alignment horizontal="center" vertical="center"/>
    </xf>
    <xf numFmtId="0" fontId="6" fillId="0" borderId="0" xfId="0" applyFont="1" applyAlignment="1">
      <alignment horizontal="left"/>
    </xf>
    <xf numFmtId="0" fontId="6" fillId="0" borderId="12" xfId="0" applyFont="1" applyBorder="1" applyAlignment="1">
      <alignment horizontal="left"/>
    </xf>
    <xf numFmtId="166" fontId="3" fillId="10" borderId="1" xfId="0" applyNumberFormat="1" applyFont="1" applyFill="1" applyBorder="1" applyAlignment="1">
      <alignment horizontal="center" wrapText="1"/>
    </xf>
    <xf numFmtId="0" fontId="3" fillId="10" borderId="7" xfId="0" applyFont="1" applyFill="1" applyBorder="1" applyAlignment="1">
      <alignment horizontal="center"/>
    </xf>
    <xf numFmtId="2" fontId="2" fillId="0" borderId="6" xfId="0" applyNumberFormat="1" applyFont="1" applyBorder="1" applyAlignment="1">
      <alignment horizontal="center"/>
    </xf>
    <xf numFmtId="0" fontId="6" fillId="9" borderId="6" xfId="0" applyFont="1" applyFill="1" applyBorder="1" applyAlignment="1">
      <alignment horizontal="center"/>
    </xf>
    <xf numFmtId="0" fontId="3" fillId="9" borderId="1" xfId="0" applyFont="1" applyFill="1" applyBorder="1" applyAlignment="1">
      <alignment horizontal="center"/>
    </xf>
    <xf numFmtId="0" fontId="6" fillId="9" borderId="10" xfId="0" applyFont="1" applyFill="1" applyBorder="1" applyAlignment="1">
      <alignment horizontal="center"/>
    </xf>
    <xf numFmtId="0" fontId="3" fillId="9" borderId="7" xfId="0" applyFont="1" applyFill="1" applyBorder="1" applyAlignment="1">
      <alignment horizontal="center"/>
    </xf>
    <xf numFmtId="0" fontId="6" fillId="9" borderId="1" xfId="0" applyFont="1" applyFill="1" applyBorder="1" applyAlignment="1">
      <alignment horizontal="center"/>
    </xf>
    <xf numFmtId="0" fontId="2" fillId="11" borderId="6" xfId="0" applyFont="1" applyFill="1" applyBorder="1"/>
    <xf numFmtId="1" fontId="2" fillId="11" borderId="27" xfId="0" applyNumberFormat="1" applyFont="1" applyFill="1" applyBorder="1"/>
    <xf numFmtId="1" fontId="3" fillId="11" borderId="27" xfId="0" applyNumberFormat="1" applyFont="1" applyFill="1" applyBorder="1"/>
    <xf numFmtId="0" fontId="2" fillId="9" borderId="6" xfId="0" applyFont="1" applyFill="1" applyBorder="1"/>
    <xf numFmtId="1" fontId="2" fillId="9" borderId="27" xfId="0" applyNumberFormat="1" applyFont="1" applyFill="1" applyBorder="1"/>
    <xf numFmtId="1" fontId="3" fillId="9" borderId="27" xfId="0" applyNumberFormat="1" applyFont="1" applyFill="1" applyBorder="1"/>
    <xf numFmtId="0" fontId="2" fillId="9" borderId="20" xfId="0" applyFont="1" applyFill="1" applyBorder="1"/>
    <xf numFmtId="2" fontId="3" fillId="11" borderId="27" xfId="0" applyNumberFormat="1" applyFont="1" applyFill="1" applyBorder="1"/>
    <xf numFmtId="2" fontId="3" fillId="9" borderId="27" xfId="0" applyNumberFormat="1" applyFont="1" applyFill="1" applyBorder="1"/>
    <xf numFmtId="1" fontId="2" fillId="11" borderId="8" xfId="0" applyNumberFormat="1" applyFont="1" applyFill="1" applyBorder="1"/>
    <xf numFmtId="1" fontId="3" fillId="11" borderId="8" xfId="0" applyNumberFormat="1" applyFont="1" applyFill="1" applyBorder="1"/>
    <xf numFmtId="0" fontId="22" fillId="12" borderId="2" xfId="0" applyFont="1" applyFill="1" applyBorder="1"/>
    <xf numFmtId="0" fontId="22" fillId="12" borderId="3" xfId="0" applyFont="1" applyFill="1" applyBorder="1"/>
    <xf numFmtId="0" fontId="48" fillId="12" borderId="3" xfId="0" applyFont="1" applyFill="1" applyBorder="1"/>
    <xf numFmtId="0" fontId="22" fillId="12" borderId="4" xfId="0" applyFont="1" applyFill="1" applyBorder="1"/>
    <xf numFmtId="0" fontId="22" fillId="12" borderId="1" xfId="0" applyFont="1" applyFill="1" applyBorder="1"/>
    <xf numFmtId="0" fontId="2" fillId="10" borderId="1" xfId="0" applyFont="1" applyFill="1" applyBorder="1"/>
    <xf numFmtId="0" fontId="9" fillId="0" borderId="1" xfId="0" applyFont="1" applyBorder="1"/>
    <xf numFmtId="0" fontId="8" fillId="0" borderId="1" xfId="0" applyFont="1" applyBorder="1" applyAlignment="1" applyProtection="1">
      <alignment horizontal="left"/>
      <protection locked="0"/>
    </xf>
    <xf numFmtId="0" fontId="3" fillId="0" borderId="1" xfId="0" applyFont="1" applyBorder="1" applyAlignment="1">
      <alignment vertical="top" wrapText="1"/>
    </xf>
    <xf numFmtId="0" fontId="3" fillId="10" borderId="1" xfId="0" applyFont="1" applyFill="1" applyBorder="1" applyAlignment="1">
      <alignment vertical="top" wrapText="1"/>
    </xf>
    <xf numFmtId="0" fontId="2" fillId="0" borderId="9" xfId="0" applyFont="1" applyBorder="1"/>
    <xf numFmtId="0" fontId="2" fillId="0" borderId="28" xfId="0" applyFont="1" applyBorder="1" applyAlignment="1">
      <alignment horizontal="center"/>
    </xf>
    <xf numFmtId="0" fontId="22" fillId="10" borderId="7" xfId="0" applyFont="1" applyFill="1" applyBorder="1" applyAlignment="1">
      <alignment horizontal="center"/>
    </xf>
    <xf numFmtId="0" fontId="2" fillId="10" borderId="6" xfId="0" applyFont="1" applyFill="1" applyBorder="1" applyAlignment="1">
      <alignment horizontal="center"/>
    </xf>
    <xf numFmtId="0" fontId="3" fillId="10" borderId="1" xfId="0" applyFont="1" applyFill="1" applyBorder="1" applyAlignment="1">
      <alignment horizontal="left"/>
    </xf>
    <xf numFmtId="0" fontId="17" fillId="10" borderId="1" xfId="0" applyFont="1" applyFill="1" applyBorder="1" applyAlignment="1">
      <alignment horizontal="center"/>
    </xf>
    <xf numFmtId="0" fontId="13" fillId="10" borderId="1" xfId="0" applyFont="1" applyFill="1" applyBorder="1" applyAlignment="1">
      <alignment horizontal="center"/>
    </xf>
    <xf numFmtId="0" fontId="22" fillId="10" borderId="1" xfId="0" applyFont="1" applyFill="1" applyBorder="1" applyAlignment="1">
      <alignment horizontal="center"/>
    </xf>
    <xf numFmtId="164" fontId="6" fillId="0" borderId="1" xfId="0" applyNumberFormat="1" applyFont="1" applyBorder="1" applyAlignment="1">
      <alignment horizontal="center"/>
    </xf>
    <xf numFmtId="0" fontId="22" fillId="10" borderId="1" xfId="0" applyFont="1" applyFill="1" applyBorder="1" applyAlignment="1">
      <alignment horizontal="left" vertical="center"/>
    </xf>
    <xf numFmtId="0" fontId="22" fillId="10" borderId="1" xfId="0" applyFont="1" applyFill="1" applyBorder="1" applyAlignment="1">
      <alignment horizontal="left" vertical="center" wrapText="1"/>
    </xf>
    <xf numFmtId="0" fontId="22" fillId="10" borderId="3" xfId="0" applyFont="1" applyFill="1" applyBorder="1" applyAlignment="1">
      <alignment horizontal="left" vertical="center" wrapText="1"/>
    </xf>
    <xf numFmtId="0" fontId="22" fillId="10" borderId="3" xfId="0" applyFont="1" applyFill="1" applyBorder="1" applyAlignment="1">
      <alignment horizontal="left" vertical="center"/>
    </xf>
    <xf numFmtId="0" fontId="6" fillId="11" borderId="6" xfId="0" applyFont="1" applyFill="1" applyBorder="1"/>
    <xf numFmtId="0" fontId="6" fillId="9" borderId="6" xfId="0" applyFont="1" applyFill="1" applyBorder="1"/>
    <xf numFmtId="165" fontId="2" fillId="3" borderId="1" xfId="0" applyNumberFormat="1" applyFont="1" applyFill="1" applyBorder="1" applyAlignment="1">
      <alignment horizontal="center"/>
    </xf>
    <xf numFmtId="0" fontId="26" fillId="0" borderId="1" xfId="0" applyFont="1" applyBorder="1"/>
    <xf numFmtId="0" fontId="22" fillId="0" borderId="1" xfId="0" applyFont="1" applyBorder="1" applyAlignment="1">
      <alignment horizontal="center"/>
    </xf>
    <xf numFmtId="164" fontId="22" fillId="0" borderId="1" xfId="0" applyNumberFormat="1" applyFont="1" applyBorder="1" applyAlignment="1">
      <alignment horizontal="center"/>
    </xf>
    <xf numFmtId="165" fontId="22" fillId="0" borderId="1" xfId="0" applyNumberFormat="1" applyFont="1" applyBorder="1" applyAlignment="1">
      <alignment horizontal="center"/>
    </xf>
    <xf numFmtId="2" fontId="22" fillId="0" borderId="1" xfId="0" applyNumberFormat="1" applyFont="1" applyBorder="1" applyAlignment="1">
      <alignment horizontal="center"/>
    </xf>
    <xf numFmtId="1" fontId="15" fillId="0" borderId="1" xfId="0" applyNumberFormat="1" applyFont="1" applyBorder="1"/>
    <xf numFmtId="165" fontId="15" fillId="0" borderId="0" xfId="0" applyNumberFormat="1" applyFont="1"/>
    <xf numFmtId="1" fontId="22" fillId="0" borderId="13" xfId="0" applyNumberFormat="1" applyFont="1" applyBorder="1"/>
    <xf numFmtId="1" fontId="22" fillId="0" borderId="6" xfId="0" applyNumberFormat="1" applyFont="1" applyBorder="1"/>
    <xf numFmtId="1" fontId="22" fillId="0" borderId="0" xfId="0" applyNumberFormat="1" applyFont="1"/>
    <xf numFmtId="1" fontId="15" fillId="0" borderId="13" xfId="0" applyNumberFormat="1" applyFont="1" applyBorder="1"/>
    <xf numFmtId="1" fontId="15" fillId="0" borderId="6" xfId="0" applyNumberFormat="1" applyFont="1" applyBorder="1"/>
    <xf numFmtId="0" fontId="22" fillId="0" borderId="0" xfId="0" applyFont="1"/>
    <xf numFmtId="0" fontId="49" fillId="0" borderId="0" xfId="0" applyFont="1"/>
    <xf numFmtId="0" fontId="50" fillId="4" borderId="0" xfId="0" applyFont="1" applyFill="1"/>
    <xf numFmtId="0" fontId="28" fillId="4" borderId="0" xfId="0" applyFont="1" applyFill="1"/>
    <xf numFmtId="165" fontId="28" fillId="0" borderId="0" xfId="0" applyNumberFormat="1" applyFont="1"/>
    <xf numFmtId="1" fontId="50" fillId="0" borderId="0" xfId="0" applyNumberFormat="1" applyFont="1"/>
    <xf numFmtId="0" fontId="50" fillId="0" borderId="0" xfId="0" applyFont="1"/>
    <xf numFmtId="2" fontId="50" fillId="0" borderId="0" xfId="0" applyNumberFormat="1" applyFont="1"/>
    <xf numFmtId="0" fontId="51" fillId="0" borderId="0" xfId="0" applyFont="1"/>
    <xf numFmtId="0" fontId="50" fillId="6" borderId="0" xfId="0" applyFont="1" applyFill="1"/>
    <xf numFmtId="0" fontId="28" fillId="6" borderId="0" xfId="0" applyFont="1" applyFill="1"/>
    <xf numFmtId="0" fontId="49" fillId="2" borderId="0" xfId="0" applyFont="1" applyFill="1"/>
    <xf numFmtId="0" fontId="49" fillId="6" borderId="1" xfId="0" applyFont="1" applyFill="1" applyBorder="1" applyAlignment="1">
      <alignment horizontal="center"/>
    </xf>
    <xf numFmtId="0" fontId="50" fillId="0" borderId="0" xfId="0" applyFont="1" applyAlignment="1">
      <alignment horizontal="center"/>
    </xf>
    <xf numFmtId="0" fontId="53" fillId="0" borderId="0" xfId="0" applyFont="1"/>
    <xf numFmtId="0" fontId="49" fillId="0" borderId="0" xfId="0" applyFont="1" applyAlignment="1">
      <alignment horizontal="center"/>
    </xf>
    <xf numFmtId="0" fontId="49" fillId="2" borderId="5" xfId="0" applyFont="1" applyFill="1" applyBorder="1" applyAlignment="1">
      <alignment horizontal="left"/>
    </xf>
    <xf numFmtId="0" fontId="50" fillId="2" borderId="0" xfId="0" applyFont="1" applyFill="1" applyAlignment="1">
      <alignment horizontal="center"/>
    </xf>
    <xf numFmtId="0" fontId="49" fillId="2" borderId="5" xfId="0" applyFont="1" applyFill="1" applyBorder="1" applyAlignment="1">
      <alignment horizontal="center"/>
    </xf>
    <xf numFmtId="0" fontId="28" fillId="2" borderId="0" xfId="0" applyFont="1" applyFill="1"/>
    <xf numFmtId="165" fontId="50" fillId="0" borderId="0" xfId="0" applyNumberFormat="1" applyFont="1"/>
    <xf numFmtId="165" fontId="50" fillId="0" borderId="0" xfId="0" applyNumberFormat="1" applyFont="1" applyAlignment="1">
      <alignment horizontal="center"/>
    </xf>
    <xf numFmtId="166" fontId="50" fillId="0" borderId="0" xfId="0" applyNumberFormat="1" applyFont="1" applyAlignment="1">
      <alignment horizontal="center"/>
    </xf>
    <xf numFmtId="166" fontId="50" fillId="0" borderId="0" xfId="0" applyNumberFormat="1" applyFont="1"/>
    <xf numFmtId="0" fontId="49" fillId="10" borderId="6" xfId="0" applyFont="1" applyFill="1" applyBorder="1" applyAlignment="1">
      <alignment horizontal="center"/>
    </xf>
    <xf numFmtId="0" fontId="50" fillId="10" borderId="0" xfId="0" applyFont="1" applyFill="1" applyAlignment="1">
      <alignment horizontal="center"/>
    </xf>
    <xf numFmtId="2" fontId="49" fillId="10" borderId="7" xfId="0" applyNumberFormat="1" applyFont="1" applyFill="1" applyBorder="1" applyAlignment="1">
      <alignment horizontal="center" vertical="center" wrapText="1"/>
    </xf>
    <xf numFmtId="0" fontId="49" fillId="10" borderId="7" xfId="0" applyFont="1" applyFill="1" applyBorder="1" applyAlignment="1">
      <alignment horizontal="center" vertical="center" wrapText="1"/>
    </xf>
    <xf numFmtId="165" fontId="49" fillId="0" borderId="0" xfId="0" applyNumberFormat="1" applyFont="1" applyAlignment="1">
      <alignment horizontal="center" vertical="center"/>
    </xf>
    <xf numFmtId="0" fontId="49" fillId="0" borderId="0" xfId="0" applyFont="1" applyAlignment="1">
      <alignment horizontal="center" vertical="center"/>
    </xf>
    <xf numFmtId="2" fontId="49" fillId="0" borderId="0" xfId="0" applyNumberFormat="1" applyFont="1" applyAlignment="1">
      <alignment horizontal="center" vertical="center"/>
    </xf>
    <xf numFmtId="0" fontId="37" fillId="0" borderId="0" xfId="0" applyFont="1" applyAlignment="1">
      <alignment horizontal="center" vertical="center"/>
    </xf>
    <xf numFmtId="0" fontId="51" fillId="0" borderId="0" xfId="0" applyFont="1" applyAlignment="1">
      <alignment horizontal="center" vertical="center"/>
    </xf>
    <xf numFmtId="0" fontId="49" fillId="0" borderId="1" xfId="0" applyFont="1" applyBorder="1" applyAlignment="1">
      <alignment horizontal="center"/>
    </xf>
    <xf numFmtId="166" fontId="50" fillId="4" borderId="1" xfId="0" applyNumberFormat="1" applyFont="1" applyFill="1" applyBorder="1" applyAlignment="1">
      <alignment horizontal="center"/>
    </xf>
    <xf numFmtId="165" fontId="49" fillId="0" borderId="0" xfId="0" applyNumberFormat="1" applyFont="1" applyAlignment="1">
      <alignment horizontal="center"/>
    </xf>
    <xf numFmtId="2" fontId="49" fillId="0" borderId="0" xfId="0" applyNumberFormat="1" applyFont="1"/>
    <xf numFmtId="0" fontId="37" fillId="0" borderId="0" xfId="0" applyFont="1"/>
    <xf numFmtId="165" fontId="50" fillId="0" borderId="0" xfId="0" applyNumberFormat="1" applyFont="1" applyAlignment="1">
      <alignment vertical="top" wrapText="1"/>
    </xf>
    <xf numFmtId="0" fontId="50" fillId="0" borderId="0" xfId="0" applyFont="1" applyAlignment="1">
      <alignment vertical="top" wrapText="1"/>
    </xf>
    <xf numFmtId="0" fontId="50" fillId="4" borderId="1" xfId="0" applyFont="1" applyFill="1" applyBorder="1" applyAlignment="1">
      <alignment horizontal="center"/>
    </xf>
    <xf numFmtId="166" fontId="49" fillId="0" borderId="1" xfId="0" applyNumberFormat="1" applyFont="1" applyBorder="1" applyAlignment="1">
      <alignment horizontal="center"/>
    </xf>
    <xf numFmtId="2" fontId="50" fillId="4" borderId="1" xfId="0" applyNumberFormat="1" applyFont="1" applyFill="1" applyBorder="1" applyAlignment="1">
      <alignment horizontal="center"/>
    </xf>
    <xf numFmtId="166" fontId="49" fillId="0" borderId="0" xfId="0" applyNumberFormat="1" applyFont="1" applyAlignment="1">
      <alignment horizontal="center"/>
    </xf>
    <xf numFmtId="2" fontId="50" fillId="0" borderId="0" xfId="0" applyNumberFormat="1" applyFont="1" applyAlignment="1">
      <alignment horizontal="center"/>
    </xf>
    <xf numFmtId="0" fontId="49" fillId="10" borderId="1" xfId="0" applyFont="1" applyFill="1" applyBorder="1" applyAlignment="1">
      <alignment horizontal="center"/>
    </xf>
    <xf numFmtId="16" fontId="49" fillId="10" borderId="1" xfId="0" applyNumberFormat="1" applyFont="1" applyFill="1" applyBorder="1" applyAlignment="1">
      <alignment horizontal="center"/>
    </xf>
    <xf numFmtId="0" fontId="28" fillId="0" borderId="1" xfId="0" applyFont="1" applyBorder="1" applyAlignment="1">
      <alignment horizontal="center"/>
    </xf>
    <xf numFmtId="2" fontId="50" fillId="4" borderId="6" xfId="0" applyNumberFormat="1" applyFont="1" applyFill="1" applyBorder="1" applyAlignment="1">
      <alignment horizontal="center"/>
    </xf>
    <xf numFmtId="0" fontId="28" fillId="0" borderId="1" xfId="0" applyFont="1" applyBorder="1" applyAlignment="1">
      <alignment horizontal="left"/>
    </xf>
    <xf numFmtId="0" fontId="50" fillId="4" borderId="6" xfId="0" applyFont="1" applyFill="1" applyBorder="1"/>
    <xf numFmtId="0" fontId="50" fillId="4" borderId="1" xfId="0" applyFont="1" applyFill="1" applyBorder="1"/>
    <xf numFmtId="1" fontId="49" fillId="0" borderId="0" xfId="0" applyNumberFormat="1" applyFont="1"/>
    <xf numFmtId="0" fontId="50" fillId="0" borderId="8" xfId="0" applyFont="1" applyBorder="1" applyAlignment="1">
      <alignment horizontal="center"/>
    </xf>
    <xf numFmtId="0" fontId="50" fillId="0" borderId="9" xfId="0" applyFont="1" applyBorder="1" applyAlignment="1">
      <alignment horizontal="center"/>
    </xf>
    <xf numFmtId="0" fontId="49" fillId="0" borderId="10" xfId="0" applyFont="1" applyBorder="1" applyAlignment="1">
      <alignment horizontal="center"/>
    </xf>
    <xf numFmtId="166" fontId="49" fillId="0" borderId="23" xfId="0" applyNumberFormat="1" applyFont="1" applyBorder="1" applyAlignment="1">
      <alignment horizontal="center"/>
    </xf>
    <xf numFmtId="2" fontId="49" fillId="0" borderId="13" xfId="0" applyNumberFormat="1" applyFont="1" applyBorder="1" applyAlignment="1">
      <alignment horizontal="center"/>
    </xf>
    <xf numFmtId="165" fontId="49" fillId="0" borderId="14" xfId="0" applyNumberFormat="1" applyFont="1" applyBorder="1" applyAlignment="1">
      <alignment horizontal="center"/>
    </xf>
    <xf numFmtId="165" fontId="49" fillId="0" borderId="13" xfId="0" applyNumberFormat="1" applyFont="1" applyBorder="1" applyAlignment="1">
      <alignment horizontal="center"/>
    </xf>
    <xf numFmtId="165" fontId="49" fillId="0" borderId="6" xfId="0" applyNumberFormat="1" applyFont="1" applyBorder="1" applyAlignment="1">
      <alignment horizontal="center"/>
    </xf>
    <xf numFmtId="165" fontId="55" fillId="10" borderId="1" xfId="0" applyNumberFormat="1" applyFont="1" applyFill="1" applyBorder="1" applyAlignment="1">
      <alignment horizontal="center" vertical="center"/>
    </xf>
    <xf numFmtId="165" fontId="58" fillId="9" borderId="22" xfId="0" applyNumberFormat="1" applyFont="1" applyFill="1" applyBorder="1" applyAlignment="1">
      <alignment horizontal="center" vertical="center"/>
    </xf>
    <xf numFmtId="165" fontId="55" fillId="10" borderId="18" xfId="0" applyNumberFormat="1" applyFont="1" applyFill="1" applyBorder="1" applyAlignment="1">
      <alignment horizontal="center" vertical="center"/>
    </xf>
    <xf numFmtId="0" fontId="50" fillId="9" borderId="1" xfId="0" applyFont="1" applyFill="1" applyBorder="1" applyAlignment="1">
      <alignment horizontal="center" vertical="center"/>
    </xf>
    <xf numFmtId="0" fontId="50" fillId="6" borderId="1" xfId="0" applyFont="1" applyFill="1" applyBorder="1" applyAlignment="1">
      <alignment horizontal="center"/>
    </xf>
    <xf numFmtId="2" fontId="50" fillId="9" borderId="1" xfId="0" applyNumberFormat="1" applyFont="1" applyFill="1" applyBorder="1" applyAlignment="1">
      <alignment horizontal="center"/>
    </xf>
    <xf numFmtId="0" fontId="50" fillId="9" borderId="1" xfId="0" applyFont="1" applyFill="1" applyBorder="1" applyAlignment="1">
      <alignment horizontal="center"/>
    </xf>
    <xf numFmtId="165" fontId="50" fillId="9" borderId="1" xfId="0" applyNumberFormat="1" applyFont="1" applyFill="1" applyBorder="1" applyAlignment="1">
      <alignment horizontal="center"/>
    </xf>
    <xf numFmtId="165" fontId="50" fillId="5" borderId="1" xfId="0" applyNumberFormat="1" applyFont="1" applyFill="1" applyBorder="1" applyAlignment="1">
      <alignment horizontal="center"/>
    </xf>
    <xf numFmtId="165" fontId="58" fillId="9" borderId="23" xfId="0" applyNumberFormat="1" applyFont="1" applyFill="1" applyBorder="1" applyAlignment="1">
      <alignment horizontal="center" vertical="center"/>
    </xf>
    <xf numFmtId="165" fontId="50" fillId="9" borderId="13" xfId="0" applyNumberFormat="1" applyFont="1" applyFill="1" applyBorder="1" applyAlignment="1">
      <alignment horizontal="center"/>
    </xf>
    <xf numFmtId="0" fontId="50" fillId="2" borderId="1" xfId="0" applyFont="1" applyFill="1" applyBorder="1" applyAlignment="1">
      <alignment horizontal="center"/>
    </xf>
    <xf numFmtId="165" fontId="51" fillId="2" borderId="1" xfId="0" applyNumberFormat="1" applyFont="1" applyFill="1" applyBorder="1" applyAlignment="1">
      <alignment horizontal="center"/>
    </xf>
    <xf numFmtId="165" fontId="51" fillId="2" borderId="6" xfId="0" applyNumberFormat="1" applyFont="1" applyFill="1" applyBorder="1" applyAlignment="1">
      <alignment horizontal="center"/>
    </xf>
    <xf numFmtId="0" fontId="50" fillId="9" borderId="6" xfId="0" applyFont="1" applyFill="1" applyBorder="1" applyAlignment="1">
      <alignment horizontal="center"/>
    </xf>
    <xf numFmtId="166" fontId="50" fillId="0" borderId="15" xfId="0" applyNumberFormat="1" applyFont="1" applyBorder="1" applyAlignment="1">
      <alignment horizontal="center"/>
    </xf>
    <xf numFmtId="0" fontId="50" fillId="0" borderId="13" xfId="0" applyFont="1" applyBorder="1" applyAlignment="1">
      <alignment horizontal="center"/>
    </xf>
    <xf numFmtId="0" fontId="50" fillId="0" borderId="14" xfId="0" applyFont="1" applyBorder="1" applyAlignment="1">
      <alignment horizontal="center"/>
    </xf>
    <xf numFmtId="0" fontId="49" fillId="0" borderId="6" xfId="0" applyFont="1" applyBorder="1" applyAlignment="1">
      <alignment horizontal="center"/>
    </xf>
    <xf numFmtId="165" fontId="49" fillId="2" borderId="1" xfId="0" applyNumberFormat="1" applyFont="1" applyFill="1" applyBorder="1" applyAlignment="1">
      <alignment horizontal="center"/>
    </xf>
    <xf numFmtId="165" fontId="50" fillId="0" borderId="1" xfId="0" applyNumberFormat="1" applyFont="1" applyBorder="1" applyAlignment="1">
      <alignment horizontal="center"/>
    </xf>
    <xf numFmtId="0" fontId="37" fillId="0" borderId="0" xfId="0" applyFont="1" applyAlignment="1">
      <alignment horizontal="center"/>
    </xf>
    <xf numFmtId="165" fontId="55" fillId="7" borderId="1" xfId="0" applyNumberFormat="1" applyFont="1" applyFill="1" applyBorder="1" applyAlignment="1">
      <alignment horizontal="center" vertical="center"/>
    </xf>
    <xf numFmtId="165" fontId="49" fillId="0" borderId="1" xfId="0" applyNumberFormat="1" applyFont="1" applyBorder="1" applyAlignment="1">
      <alignment horizontal="center" vertical="center"/>
    </xf>
    <xf numFmtId="165" fontId="50" fillId="0" borderId="0" xfId="0" applyNumberFormat="1" applyFont="1" applyAlignment="1">
      <alignment horizontal="center" vertical="center"/>
    </xf>
    <xf numFmtId="0" fontId="49" fillId="0" borderId="0" xfId="0" applyFont="1" applyAlignment="1">
      <alignment horizontal="center" vertical="center" wrapText="1"/>
    </xf>
    <xf numFmtId="0" fontId="49" fillId="0" borderId="9" xfId="0" applyFont="1" applyBorder="1" applyAlignment="1">
      <alignment horizontal="center"/>
    </xf>
    <xf numFmtId="0" fontId="49" fillId="10" borderId="1" xfId="0" applyFont="1" applyFill="1" applyBorder="1" applyAlignment="1">
      <alignment horizontal="center" vertical="center" wrapText="1"/>
    </xf>
    <xf numFmtId="165" fontId="49" fillId="10" borderId="1" xfId="0" applyNumberFormat="1" applyFont="1" applyFill="1" applyBorder="1" applyAlignment="1">
      <alignment horizontal="center"/>
    </xf>
    <xf numFmtId="166" fontId="49" fillId="10" borderId="1" xfId="0" applyNumberFormat="1" applyFont="1" applyFill="1" applyBorder="1" applyAlignment="1">
      <alignment horizontal="center"/>
    </xf>
    <xf numFmtId="165" fontId="50" fillId="4" borderId="1" xfId="0" applyNumberFormat="1" applyFont="1" applyFill="1" applyBorder="1"/>
    <xf numFmtId="165" fontId="50" fillId="0" borderId="13" xfId="0" applyNumberFormat="1" applyFont="1" applyBorder="1" applyAlignment="1">
      <alignment horizontal="center"/>
    </xf>
    <xf numFmtId="165" fontId="55" fillId="10" borderId="3" xfId="0" applyNumberFormat="1" applyFont="1" applyFill="1" applyBorder="1" applyAlignment="1">
      <alignment horizontal="center" vertical="center"/>
    </xf>
    <xf numFmtId="166" fontId="49" fillId="0" borderId="0" xfId="0" applyNumberFormat="1" applyFont="1" applyAlignment="1">
      <alignment horizontal="center" vertical="center"/>
    </xf>
    <xf numFmtId="165" fontId="51" fillId="0" borderId="0" xfId="0" applyNumberFormat="1" applyFont="1"/>
    <xf numFmtId="170" fontId="59" fillId="0" borderId="0" xfId="0" applyNumberFormat="1" applyFont="1" applyAlignment="1">
      <alignment vertical="center" wrapText="1"/>
    </xf>
    <xf numFmtId="0" fontId="2" fillId="0" borderId="5" xfId="0" applyFont="1" applyBorder="1"/>
    <xf numFmtId="0" fontId="0" fillId="0" borderId="11" xfId="0" applyBorder="1"/>
    <xf numFmtId="0" fontId="30" fillId="2" borderId="0" xfId="0" applyFont="1" applyFill="1"/>
    <xf numFmtId="0" fontId="3" fillId="0" borderId="29" xfId="0" applyFont="1" applyBorder="1"/>
    <xf numFmtId="0" fontId="3" fillId="0" borderId="29" xfId="0" applyFont="1" applyBorder="1" applyAlignment="1">
      <alignment wrapText="1"/>
    </xf>
    <xf numFmtId="0" fontId="3" fillId="0" borderId="31" xfId="0" applyFont="1" applyBorder="1" applyAlignment="1">
      <alignment wrapText="1"/>
    </xf>
    <xf numFmtId="0" fontId="3" fillId="0" borderId="32" xfId="0" applyFont="1" applyBorder="1"/>
    <xf numFmtId="0" fontId="3" fillId="0" borderId="33" xfId="0" applyFont="1" applyBorder="1" applyAlignment="1">
      <alignment wrapText="1"/>
    </xf>
    <xf numFmtId="0" fontId="3" fillId="0" borderId="33" xfId="0" applyFont="1" applyBorder="1"/>
    <xf numFmtId="0" fontId="2" fillId="0" borderId="12" xfId="0" applyFont="1" applyBorder="1" applyAlignment="1">
      <alignment horizontal="center"/>
    </xf>
    <xf numFmtId="0" fontId="2" fillId="0" borderId="34" xfId="0" applyFont="1" applyBorder="1" applyAlignment="1">
      <alignment horizontal="center"/>
    </xf>
    <xf numFmtId="165" fontId="2" fillId="0" borderId="12" xfId="0" applyNumberFormat="1" applyFont="1" applyBorder="1" applyAlignment="1">
      <alignment horizontal="center"/>
    </xf>
    <xf numFmtId="164" fontId="2" fillId="0" borderId="12" xfId="0" applyNumberFormat="1" applyFont="1" applyBorder="1" applyAlignment="1">
      <alignment horizontal="center"/>
    </xf>
    <xf numFmtId="0" fontId="3" fillId="0" borderId="35" xfId="0" applyFont="1" applyBorder="1" applyAlignment="1">
      <alignment wrapText="1"/>
    </xf>
    <xf numFmtId="0" fontId="2" fillId="0" borderId="35" xfId="0" applyFont="1" applyBorder="1"/>
    <xf numFmtId="0" fontId="2" fillId="0" borderId="36" xfId="0" applyFont="1" applyBorder="1"/>
    <xf numFmtId="0" fontId="2" fillId="0" borderId="36" xfId="0" applyFont="1" applyBorder="1" applyAlignment="1">
      <alignment horizontal="center"/>
    </xf>
    <xf numFmtId="0" fontId="6" fillId="0" borderId="0" xfId="0" applyFont="1" applyAlignment="1">
      <alignment wrapText="1"/>
    </xf>
    <xf numFmtId="2" fontId="2" fillId="0" borderId="12" xfId="0" applyNumberFormat="1" applyFont="1" applyBorder="1" applyAlignment="1">
      <alignment horizontal="center"/>
    </xf>
    <xf numFmtId="0" fontId="6" fillId="0" borderId="5" xfId="0" applyFont="1" applyBorder="1"/>
    <xf numFmtId="0" fontId="6" fillId="0" borderId="5" xfId="0" applyFont="1" applyBorder="1" applyAlignment="1">
      <alignment wrapText="1"/>
    </xf>
    <xf numFmtId="165" fontId="2" fillId="0" borderId="2" xfId="0" applyNumberFormat="1" applyFont="1" applyBorder="1" applyAlignment="1">
      <alignment horizontal="center"/>
    </xf>
    <xf numFmtId="164" fontId="2" fillId="0" borderId="2" xfId="0" applyNumberFormat="1" applyFont="1" applyBorder="1" applyAlignment="1">
      <alignment horizontal="center"/>
    </xf>
    <xf numFmtId="164" fontId="2" fillId="0" borderId="0" xfId="0" applyNumberFormat="1" applyFont="1"/>
    <xf numFmtId="0" fontId="3" fillId="0" borderId="30" xfId="0" applyFont="1" applyBorder="1" applyAlignment="1">
      <alignment horizontal="center"/>
    </xf>
    <xf numFmtId="165" fontId="58" fillId="9" borderId="15" xfId="0" applyNumberFormat="1" applyFont="1" applyFill="1" applyBorder="1" applyAlignment="1">
      <alignment horizontal="center" vertical="center"/>
    </xf>
    <xf numFmtId="165" fontId="55" fillId="9" borderId="1" xfId="0" applyNumberFormat="1" applyFont="1" applyFill="1" applyBorder="1" applyAlignment="1">
      <alignment horizontal="center"/>
    </xf>
    <xf numFmtId="165" fontId="55" fillId="9" borderId="13" xfId="0" applyNumberFormat="1" applyFont="1" applyFill="1" applyBorder="1" applyAlignment="1">
      <alignment horizontal="center"/>
    </xf>
    <xf numFmtId="166" fontId="2" fillId="5" borderId="1" xfId="0" applyNumberFormat="1" applyFont="1" applyFill="1" applyBorder="1" applyAlignment="1">
      <alignment horizontal="center"/>
    </xf>
    <xf numFmtId="165" fontId="1" fillId="10" borderId="1" xfId="0" applyNumberFormat="1" applyFont="1" applyFill="1" applyBorder="1" applyAlignment="1">
      <alignment wrapText="1"/>
    </xf>
    <xf numFmtId="2" fontId="3" fillId="2" borderId="5" xfId="0" applyNumberFormat="1" applyFont="1" applyFill="1" applyBorder="1" applyAlignment="1">
      <alignment horizontal="center"/>
    </xf>
    <xf numFmtId="0" fontId="3" fillId="0" borderId="0" xfId="0" applyFont="1" applyAlignment="1">
      <alignment vertical="top" wrapText="1"/>
    </xf>
    <xf numFmtId="0" fontId="3" fillId="2" borderId="0" xfId="0" applyFont="1" applyFill="1" applyAlignment="1">
      <alignment horizontal="left"/>
    </xf>
    <xf numFmtId="0" fontId="3" fillId="2" borderId="0" xfId="0" applyFont="1" applyFill="1" applyAlignment="1">
      <alignment horizontal="center"/>
    </xf>
    <xf numFmtId="0" fontId="2" fillId="0" borderId="1" xfId="0" applyFont="1" applyBorder="1" applyAlignment="1">
      <alignment horizontal="left"/>
    </xf>
    <xf numFmtId="0" fontId="2" fillId="10" borderId="13" xfId="0" applyFont="1" applyFill="1" applyBorder="1" applyAlignment="1">
      <alignment horizontal="center" vertical="center"/>
    </xf>
    <xf numFmtId="0" fontId="2" fillId="10" borderId="6" xfId="0" applyFont="1" applyFill="1" applyBorder="1" applyAlignment="1">
      <alignment horizontal="center" vertical="center"/>
    </xf>
    <xf numFmtId="0" fontId="2" fillId="2" borderId="0" xfId="0" applyFont="1" applyFill="1" applyAlignment="1">
      <alignment horizontal="center" wrapText="1"/>
    </xf>
    <xf numFmtId="0" fontId="3" fillId="2" borderId="0" xfId="0" applyFont="1" applyFill="1"/>
    <xf numFmtId="0" fontId="3" fillId="0" borderId="9" xfId="0" applyFont="1" applyBorder="1" applyAlignment="1">
      <alignment horizontal="center"/>
    </xf>
    <xf numFmtId="0" fontId="3" fillId="10" borderId="1" xfId="0" applyFont="1" applyFill="1" applyBorder="1" applyAlignment="1">
      <alignment horizontal="center"/>
    </xf>
    <xf numFmtId="0" fontId="3" fillId="10" borderId="13" xfId="0" applyFont="1" applyFill="1" applyBorder="1" applyAlignment="1">
      <alignment horizontal="center"/>
    </xf>
    <xf numFmtId="0" fontId="3" fillId="10" borderId="14" xfId="0" applyFont="1" applyFill="1" applyBorder="1" applyAlignment="1">
      <alignment horizontal="center"/>
    </xf>
    <xf numFmtId="0" fontId="3" fillId="10" borderId="6" xfId="0" applyFont="1" applyFill="1" applyBorder="1" applyAlignment="1">
      <alignment horizontal="center"/>
    </xf>
    <xf numFmtId="0" fontId="2" fillId="0" borderId="11" xfId="0" applyFont="1" applyBorder="1" applyAlignment="1">
      <alignment vertical="top" wrapText="1"/>
    </xf>
    <xf numFmtId="0" fontId="2" fillId="0" borderId="0" xfId="0" applyFont="1" applyAlignment="1">
      <alignment vertical="top" wrapText="1"/>
    </xf>
    <xf numFmtId="0" fontId="3" fillId="10" borderId="1" xfId="0" applyFont="1" applyFill="1" applyBorder="1" applyAlignment="1">
      <alignment horizontal="left" vertical="center" wrapText="1"/>
    </xf>
    <xf numFmtId="165" fontId="49" fillId="0" borderId="13" xfId="0" applyNumberFormat="1" applyFont="1" applyBorder="1" applyAlignment="1">
      <alignment horizontal="center"/>
    </xf>
    <xf numFmtId="165" fontId="49" fillId="0" borderId="6" xfId="0" applyNumberFormat="1" applyFont="1" applyBorder="1" applyAlignment="1">
      <alignment horizontal="center"/>
    </xf>
    <xf numFmtId="0" fontId="49" fillId="0" borderId="9" xfId="0" applyFont="1" applyBorder="1" applyAlignment="1">
      <alignment horizontal="center"/>
    </xf>
    <xf numFmtId="0" fontId="49" fillId="10" borderId="1" xfId="0" applyFont="1" applyFill="1" applyBorder="1" applyAlignment="1">
      <alignment horizontal="center" wrapText="1"/>
    </xf>
    <xf numFmtId="0" fontId="49" fillId="10" borderId="7" xfId="0" applyFont="1" applyFill="1" applyBorder="1" applyAlignment="1">
      <alignment horizontal="center" wrapText="1"/>
    </xf>
    <xf numFmtId="0" fontId="49" fillId="10" borderId="3" xfId="0" applyFont="1" applyFill="1" applyBorder="1" applyAlignment="1">
      <alignment horizontal="center" wrapText="1"/>
    </xf>
    <xf numFmtId="0" fontId="49" fillId="10" borderId="7" xfId="0" applyFont="1" applyFill="1" applyBorder="1" applyAlignment="1">
      <alignment horizontal="center" vertical="center" wrapText="1"/>
    </xf>
    <xf numFmtId="0" fontId="49" fillId="10" borderId="3" xfId="0" applyFont="1" applyFill="1" applyBorder="1" applyAlignment="1">
      <alignment horizontal="center" vertical="center" wrapText="1"/>
    </xf>
    <xf numFmtId="0" fontId="49" fillId="2" borderId="5" xfId="0" applyFont="1" applyFill="1" applyBorder="1" applyAlignment="1">
      <alignment horizontal="left"/>
    </xf>
    <xf numFmtId="0" fontId="49" fillId="2" borderId="0" xfId="0" applyFont="1" applyFill="1"/>
    <xf numFmtId="0" fontId="53" fillId="4" borderId="13" xfId="0" applyFont="1" applyFill="1" applyBorder="1"/>
    <xf numFmtId="0" fontId="53" fillId="4" borderId="6" xfId="0" applyFont="1" applyFill="1" applyBorder="1"/>
    <xf numFmtId="166" fontId="49" fillId="0" borderId="1" xfId="0" applyNumberFormat="1" applyFont="1" applyBorder="1" applyAlignment="1">
      <alignment horizontal="center"/>
    </xf>
    <xf numFmtId="166" fontId="49" fillId="0" borderId="13" xfId="0" applyNumberFormat="1" applyFont="1" applyBorder="1" applyAlignment="1">
      <alignment horizontal="center"/>
    </xf>
    <xf numFmtId="166" fontId="49" fillId="0" borderId="6" xfId="0" applyNumberFormat="1" applyFont="1" applyBorder="1" applyAlignment="1">
      <alignment horizontal="center"/>
    </xf>
    <xf numFmtId="0" fontId="49" fillId="10" borderId="8" xfId="0" applyFont="1" applyFill="1" applyBorder="1" applyAlignment="1">
      <alignment horizontal="center" vertical="center"/>
    </xf>
    <xf numFmtId="0" fontId="49" fillId="10" borderId="10" xfId="0" applyFont="1" applyFill="1" applyBorder="1" applyAlignment="1">
      <alignment horizontal="center" vertical="center"/>
    </xf>
    <xf numFmtId="0" fontId="49" fillId="10" borderId="4" xfId="0" applyFont="1" applyFill="1" applyBorder="1" applyAlignment="1">
      <alignment horizontal="center" vertical="center"/>
    </xf>
    <xf numFmtId="0" fontId="49" fillId="10" borderId="2" xfId="0" applyFont="1" applyFill="1" applyBorder="1" applyAlignment="1">
      <alignment horizontal="center" vertical="center"/>
    </xf>
    <xf numFmtId="0" fontId="49" fillId="10" borderId="7" xfId="0" applyFont="1" applyFill="1" applyBorder="1" applyAlignment="1">
      <alignment horizontal="center" vertical="center"/>
    </xf>
    <xf numFmtId="0" fontId="49" fillId="10" borderId="3" xfId="0" applyFont="1" applyFill="1" applyBorder="1" applyAlignment="1">
      <alignment horizontal="center" vertical="center"/>
    </xf>
    <xf numFmtId="0" fontId="49" fillId="10" borderId="13" xfId="0" applyFont="1" applyFill="1" applyBorder="1" applyAlignment="1">
      <alignment horizontal="center"/>
    </xf>
    <xf numFmtId="0" fontId="49" fillId="10" borderId="14" xfId="0" applyFont="1" applyFill="1" applyBorder="1" applyAlignment="1">
      <alignment horizontal="center"/>
    </xf>
    <xf numFmtId="0" fontId="49" fillId="10" borderId="6" xfId="0" applyFont="1" applyFill="1" applyBorder="1" applyAlignment="1">
      <alignment horizontal="center"/>
    </xf>
    <xf numFmtId="0" fontId="49" fillId="10" borderId="1" xfId="0" applyFont="1" applyFill="1" applyBorder="1" applyAlignment="1">
      <alignment horizontal="center" vertical="center"/>
    </xf>
    <xf numFmtId="0" fontId="49" fillId="2" borderId="5" xfId="0" applyFont="1" applyFill="1" applyBorder="1" applyAlignment="1">
      <alignment horizontal="center"/>
    </xf>
    <xf numFmtId="2" fontId="49" fillId="10" borderId="7" xfId="0" applyNumberFormat="1" applyFont="1" applyFill="1" applyBorder="1" applyAlignment="1">
      <alignment horizontal="center" vertical="center"/>
    </xf>
    <xf numFmtId="2" fontId="49" fillId="10" borderId="3" xfId="0" applyNumberFormat="1" applyFont="1" applyFill="1" applyBorder="1" applyAlignment="1">
      <alignment horizontal="center" vertical="center"/>
    </xf>
    <xf numFmtId="0" fontId="49" fillId="2" borderId="0" xfId="0" applyFont="1" applyFill="1" applyAlignment="1">
      <alignment horizontal="left"/>
    </xf>
    <xf numFmtId="166" fontId="3" fillId="0" borderId="1" xfId="0" applyNumberFormat="1" applyFont="1" applyBorder="1" applyAlignment="1">
      <alignment horizontal="left"/>
    </xf>
    <xf numFmtId="166" fontId="2" fillId="0" borderId="1" xfId="0" applyNumberFormat="1" applyFont="1" applyBorder="1" applyAlignment="1">
      <alignment horizontal="left"/>
    </xf>
    <xf numFmtId="166" fontId="3" fillId="0" borderId="1" xfId="0" applyNumberFormat="1" applyFont="1" applyBorder="1" applyAlignment="1">
      <alignment horizontal="left" vertical="center"/>
    </xf>
    <xf numFmtId="1" fontId="2" fillId="0" borderId="13" xfId="0" applyNumberFormat="1" applyFont="1" applyBorder="1"/>
    <xf numFmtId="1" fontId="2" fillId="0" borderId="14" xfId="0" applyNumberFormat="1" applyFont="1" applyBorder="1"/>
    <xf numFmtId="1" fontId="2" fillId="0" borderId="6" xfId="0" applyNumberFormat="1" applyFont="1" applyBorder="1"/>
    <xf numFmtId="166" fontId="3" fillId="0" borderId="13" xfId="0" applyNumberFormat="1" applyFont="1" applyBorder="1"/>
    <xf numFmtId="166" fontId="3" fillId="0" borderId="14" xfId="0" applyNumberFormat="1" applyFont="1" applyBorder="1"/>
    <xf numFmtId="166" fontId="3" fillId="0" borderId="6" xfId="0" applyNumberFormat="1" applyFont="1" applyBorder="1"/>
    <xf numFmtId="166" fontId="2" fillId="0" borderId="13" xfId="0" applyNumberFormat="1" applyFont="1" applyBorder="1" applyAlignment="1">
      <alignment horizontal="left"/>
    </xf>
    <xf numFmtId="166" fontId="2" fillId="0" borderId="14" xfId="0" applyNumberFormat="1" applyFont="1" applyBorder="1" applyAlignment="1">
      <alignment horizontal="left"/>
    </xf>
    <xf numFmtId="166" fontId="2" fillId="0" borderId="6" xfId="0" applyNumberFormat="1" applyFont="1" applyBorder="1" applyAlignment="1">
      <alignment horizontal="left"/>
    </xf>
    <xf numFmtId="166" fontId="2" fillId="0" borderId="13" xfId="0" applyNumberFormat="1" applyFont="1" applyBorder="1"/>
    <xf numFmtId="166" fontId="2" fillId="0" borderId="14" xfId="0" applyNumberFormat="1" applyFont="1" applyBorder="1"/>
    <xf numFmtId="166" fontId="2" fillId="0" borderId="6" xfId="0" applyNumberFormat="1" applyFont="1" applyBorder="1"/>
    <xf numFmtId="0" fontId="2" fillId="0" borderId="13" xfId="0" applyFont="1" applyBorder="1"/>
    <xf numFmtId="0" fontId="2" fillId="0" borderId="6" xfId="0" applyFont="1" applyBorder="1"/>
    <xf numFmtId="1" fontId="3" fillId="0" borderId="13" xfId="0" applyNumberFormat="1" applyFont="1" applyBorder="1"/>
    <xf numFmtId="1" fontId="3" fillId="0" borderId="6" xfId="0" applyNumberFormat="1" applyFont="1" applyBorder="1"/>
    <xf numFmtId="0" fontId="2" fillId="0" borderId="14" xfId="0" applyFont="1" applyBorder="1"/>
    <xf numFmtId="0" fontId="2" fillId="0" borderId="0" xfId="0" applyFont="1"/>
    <xf numFmtId="0" fontId="3" fillId="0" borderId="0" xfId="0" applyFont="1" applyAlignment="1">
      <alignment horizontal="center"/>
    </xf>
    <xf numFmtId="0" fontId="2" fillId="0" borderId="1" xfId="0" applyFont="1" applyBorder="1"/>
    <xf numFmtId="165" fontId="2" fillId="0" borderId="1" xfId="0" applyNumberFormat="1" applyFont="1" applyBorder="1" applyAlignment="1">
      <alignment horizontal="left"/>
    </xf>
    <xf numFmtId="0" fontId="3" fillId="0" borderId="13" xfId="0" applyFont="1" applyBorder="1" applyAlignment="1">
      <alignment horizontal="left" vertical="center" wrapText="1"/>
    </xf>
    <xf numFmtId="0" fontId="3" fillId="0" borderId="14" xfId="0" applyFont="1" applyBorder="1" applyAlignment="1">
      <alignment horizontal="left" vertical="center" wrapText="1"/>
    </xf>
    <xf numFmtId="0" fontId="3" fillId="0" borderId="6" xfId="0" applyFont="1" applyBorder="1" applyAlignment="1">
      <alignment horizontal="left" vertical="center" wrapText="1"/>
    </xf>
    <xf numFmtId="0" fontId="17" fillId="0" borderId="0" xfId="0" applyFont="1"/>
    <xf numFmtId="0" fontId="3" fillId="0" borderId="13" xfId="0" applyFont="1" applyBorder="1" applyAlignment="1">
      <alignment horizontal="left" vertical="center"/>
    </xf>
    <xf numFmtId="0" fontId="3" fillId="0" borderId="6" xfId="0" applyFont="1" applyBorder="1" applyAlignment="1">
      <alignment horizontal="left" vertical="center"/>
    </xf>
    <xf numFmtId="166" fontId="2" fillId="0" borderId="0" xfId="0" applyNumberFormat="1" applyFont="1"/>
    <xf numFmtId="166" fontId="2" fillId="0" borderId="1" xfId="0" applyNumberFormat="1" applyFont="1" applyBorder="1"/>
    <xf numFmtId="0" fontId="3" fillId="0" borderId="1" xfId="0" applyFont="1" applyBorder="1" applyAlignment="1">
      <alignment horizontal="center" vertical="center"/>
    </xf>
    <xf numFmtId="2" fontId="3" fillId="0" borderId="0" xfId="0" applyNumberFormat="1" applyFont="1" applyAlignment="1">
      <alignment horizontal="center"/>
    </xf>
    <xf numFmtId="166" fontId="3" fillId="0" borderId="13" xfId="0" applyNumberFormat="1" applyFont="1" applyBorder="1" applyAlignment="1">
      <alignment horizontal="center" vertical="center"/>
    </xf>
    <xf numFmtId="166" fontId="3" fillId="0" borderId="6" xfId="0" applyNumberFormat="1" applyFont="1" applyBorder="1" applyAlignment="1">
      <alignment horizontal="center" vertical="center"/>
    </xf>
    <xf numFmtId="0" fontId="2" fillId="0" borderId="13" xfId="0" applyFont="1" applyBorder="1" applyAlignment="1">
      <alignment horizontal="left" vertical="center"/>
    </xf>
    <xf numFmtId="0" fontId="2" fillId="0" borderId="6" xfId="0" applyFont="1" applyBorder="1" applyAlignment="1">
      <alignment horizontal="left" vertical="center"/>
    </xf>
    <xf numFmtId="0" fontId="3" fillId="0" borderId="14" xfId="0" applyFont="1" applyBorder="1" applyAlignment="1">
      <alignment horizontal="left" vertical="center"/>
    </xf>
    <xf numFmtId="2" fontId="3" fillId="0" borderId="13" xfId="0" applyNumberFormat="1" applyFont="1" applyBorder="1"/>
    <xf numFmtId="2" fontId="3" fillId="0" borderId="14" xfId="0" applyNumberFormat="1" applyFont="1" applyBorder="1"/>
    <xf numFmtId="2" fontId="3" fillId="0" borderId="6" xfId="0" applyNumberFormat="1" applyFont="1" applyBorder="1"/>
    <xf numFmtId="0" fontId="3" fillId="0" borderId="13" xfId="0" applyFont="1" applyBorder="1"/>
    <xf numFmtId="0" fontId="3" fillId="0" borderId="14" xfId="0" applyFont="1" applyBorder="1"/>
    <xf numFmtId="0" fontId="3" fillId="0" borderId="6" xfId="0" applyFont="1" applyBorder="1"/>
    <xf numFmtId="166" fontId="15" fillId="0" borderId="13" xfId="0" applyNumberFormat="1" applyFont="1" applyBorder="1"/>
    <xf numFmtId="166" fontId="15" fillId="0" borderId="14" xfId="0" applyNumberFormat="1" applyFont="1" applyBorder="1"/>
    <xf numFmtId="166" fontId="15" fillId="0" borderId="6" xfId="0" applyNumberFormat="1" applyFont="1" applyBorder="1"/>
    <xf numFmtId="0" fontId="15" fillId="0" borderId="13" xfId="0" applyFont="1" applyBorder="1"/>
    <xf numFmtId="0" fontId="15" fillId="0" borderId="6" xfId="0" applyFont="1" applyBorder="1"/>
    <xf numFmtId="0" fontId="3" fillId="0" borderId="9" xfId="0" applyFont="1" applyBorder="1" applyAlignment="1">
      <alignment horizontal="left"/>
    </xf>
    <xf numFmtId="0" fontId="3" fillId="10" borderId="1" xfId="0" applyFont="1" applyFill="1" applyBorder="1" applyAlignment="1">
      <alignment horizontal="center" vertical="center" wrapText="1"/>
    </xf>
    <xf numFmtId="0" fontId="3" fillId="10" borderId="1" xfId="0" applyFont="1" applyFill="1" applyBorder="1" applyAlignment="1">
      <alignment horizontal="center" wrapText="1"/>
    </xf>
    <xf numFmtId="0" fontId="3" fillId="10" borderId="7" xfId="0" applyFont="1" applyFill="1" applyBorder="1" applyAlignment="1">
      <alignment horizontal="center" wrapText="1"/>
    </xf>
    <xf numFmtId="0" fontId="3" fillId="10" borderId="3" xfId="0" applyFont="1" applyFill="1" applyBorder="1" applyAlignment="1">
      <alignment horizontal="center" wrapText="1"/>
    </xf>
    <xf numFmtId="0" fontId="3" fillId="10" borderId="7"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2" borderId="5" xfId="0" applyFont="1" applyFill="1" applyBorder="1" applyAlignment="1">
      <alignment horizontal="left"/>
    </xf>
    <xf numFmtId="0" fontId="3" fillId="2" borderId="5" xfId="0" applyFont="1" applyFill="1" applyBorder="1" applyAlignment="1">
      <alignment horizontal="center"/>
    </xf>
    <xf numFmtId="0" fontId="3" fillId="10" borderId="8" xfId="0" applyFont="1" applyFill="1" applyBorder="1" applyAlignment="1">
      <alignment horizontal="center" vertical="center"/>
    </xf>
    <xf numFmtId="0" fontId="3" fillId="10" borderId="10" xfId="0" applyFont="1" applyFill="1" applyBorder="1" applyAlignment="1">
      <alignment horizontal="center" vertical="center"/>
    </xf>
    <xf numFmtId="0" fontId="3" fillId="10" borderId="4" xfId="0" applyFont="1" applyFill="1" applyBorder="1" applyAlignment="1">
      <alignment horizontal="center" vertical="center"/>
    </xf>
    <xf numFmtId="0" fontId="3" fillId="10" borderId="2" xfId="0" applyFont="1" applyFill="1" applyBorder="1" applyAlignment="1">
      <alignment horizontal="center" vertical="center"/>
    </xf>
    <xf numFmtId="0" fontId="6" fillId="4" borderId="13" xfId="0" applyFont="1" applyFill="1" applyBorder="1"/>
    <xf numFmtId="0" fontId="6" fillId="4" borderId="6" xfId="0" applyFont="1" applyFill="1" applyBorder="1"/>
    <xf numFmtId="2" fontId="3" fillId="10" borderId="7" xfId="0" applyNumberFormat="1" applyFont="1" applyFill="1" applyBorder="1" applyAlignment="1">
      <alignment horizontal="center" vertical="center" wrapText="1"/>
    </xf>
    <xf numFmtId="2" fontId="3" fillId="10" borderId="3" xfId="0" applyNumberFormat="1" applyFont="1" applyFill="1" applyBorder="1" applyAlignment="1">
      <alignment horizontal="center" vertical="center" wrapText="1"/>
    </xf>
    <xf numFmtId="0" fontId="3" fillId="10" borderId="7" xfId="0" applyFont="1" applyFill="1" applyBorder="1" applyAlignment="1">
      <alignment horizontal="center" vertical="center"/>
    </xf>
    <xf numFmtId="0" fontId="3" fillId="10" borderId="3" xfId="0" applyFont="1" applyFill="1" applyBorder="1" applyAlignment="1">
      <alignment horizontal="center" vertical="center"/>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6" xfId="0" applyFont="1" applyBorder="1" applyAlignment="1">
      <alignment vertical="center" wrapText="1"/>
    </xf>
    <xf numFmtId="0" fontId="3" fillId="0" borderId="13" xfId="0" applyFont="1" applyBorder="1" applyAlignment="1">
      <alignment vertical="center"/>
    </xf>
    <xf numFmtId="0" fontId="3" fillId="0" borderId="6" xfId="0" applyFont="1" applyBorder="1" applyAlignment="1">
      <alignment vertical="center"/>
    </xf>
    <xf numFmtId="166" fontId="3" fillId="0" borderId="14" xfId="0" applyNumberFormat="1" applyFont="1" applyBorder="1" applyAlignment="1">
      <alignment horizontal="center" vertical="center"/>
    </xf>
    <xf numFmtId="0" fontId="3" fillId="0" borderId="13" xfId="0" applyFont="1" applyBorder="1" applyAlignment="1">
      <alignment horizontal="center" vertical="center" wrapText="1"/>
    </xf>
    <xf numFmtId="0" fontId="3" fillId="0" borderId="6" xfId="0" applyFont="1" applyBorder="1" applyAlignment="1">
      <alignment horizontal="center" vertical="center" wrapText="1"/>
    </xf>
    <xf numFmtId="2" fontId="2" fillId="0" borderId="0" xfId="0" applyNumberFormat="1" applyFont="1" applyAlignment="1">
      <alignment vertical="top" wrapText="1"/>
    </xf>
    <xf numFmtId="166" fontId="3" fillId="0" borderId="1" xfId="0" applyNumberFormat="1" applyFont="1" applyBorder="1" applyAlignment="1">
      <alignment horizontal="center"/>
    </xf>
    <xf numFmtId="166" fontId="2" fillId="0" borderId="1" xfId="0" applyNumberFormat="1" applyFont="1" applyBorder="1" applyAlignment="1">
      <alignment horizontal="left" wrapText="1"/>
    </xf>
    <xf numFmtId="0" fontId="3" fillId="10" borderId="1" xfId="0" applyFont="1" applyFill="1" applyBorder="1" applyAlignment="1">
      <alignment horizontal="center" vertical="center"/>
    </xf>
    <xf numFmtId="0" fontId="15" fillId="0" borderId="1" xfId="0" applyFont="1" applyBorder="1"/>
    <xf numFmtId="0" fontId="15" fillId="0" borderId="14" xfId="0" applyFont="1" applyBorder="1"/>
    <xf numFmtId="166" fontId="15" fillId="0" borderId="1" xfId="0" applyNumberFormat="1" applyFont="1" applyBorder="1"/>
    <xf numFmtId="0" fontId="28" fillId="0" borderId="0" xfId="0" applyFont="1"/>
    <xf numFmtId="0" fontId="2" fillId="3" borderId="13" xfId="0" applyFont="1" applyFill="1" applyBorder="1"/>
    <xf numFmtId="0" fontId="2" fillId="3" borderId="6" xfId="0" applyFont="1" applyFill="1" applyBorder="1"/>
    <xf numFmtId="0" fontId="3" fillId="10" borderId="13" xfId="0" applyFont="1" applyFill="1" applyBorder="1" applyAlignment="1">
      <alignment horizontal="center" vertical="center"/>
    </xf>
    <xf numFmtId="0" fontId="3" fillId="10" borderId="6" xfId="0" applyFont="1" applyFill="1" applyBorder="1" applyAlignment="1">
      <alignment horizontal="center" vertical="center"/>
    </xf>
    <xf numFmtId="0" fontId="6" fillId="3" borderId="13" xfId="0" applyFont="1" applyFill="1" applyBorder="1"/>
    <xf numFmtId="0" fontId="6" fillId="3" borderId="6" xfId="0" applyFont="1" applyFill="1" applyBorder="1"/>
    <xf numFmtId="166" fontId="3" fillId="0" borderId="13" xfId="0" applyNumberFormat="1" applyFont="1" applyBorder="1" applyAlignment="1">
      <alignment horizontal="center" wrapText="1"/>
    </xf>
    <xf numFmtId="166" fontId="3" fillId="0" borderId="6" xfId="0" applyNumberFormat="1" applyFont="1" applyBorder="1" applyAlignment="1">
      <alignment horizontal="center" wrapText="1"/>
    </xf>
    <xf numFmtId="2" fontId="3" fillId="0" borderId="5" xfId="0" applyNumberFormat="1" applyFont="1" applyBorder="1" applyAlignment="1">
      <alignment horizontal="center"/>
    </xf>
    <xf numFmtId="0" fontId="3" fillId="0" borderId="14" xfId="0" applyFont="1" applyBorder="1" applyAlignment="1">
      <alignment horizontal="center" vertical="center" wrapText="1"/>
    </xf>
    <xf numFmtId="0" fontId="3" fillId="0" borderId="13" xfId="0" applyFont="1" applyBorder="1" applyAlignment="1">
      <alignment horizontal="center" vertical="center"/>
    </xf>
    <xf numFmtId="0" fontId="3" fillId="0" borderId="6" xfId="0" applyFont="1" applyBorder="1" applyAlignment="1">
      <alignment horizontal="center" vertical="center"/>
    </xf>
    <xf numFmtId="0" fontId="3" fillId="0" borderId="0" xfId="0" applyFont="1"/>
    <xf numFmtId="0" fontId="6" fillId="0" borderId="13" xfId="0" applyFont="1" applyBorder="1" applyAlignment="1">
      <alignment horizontal="left"/>
    </xf>
    <xf numFmtId="0" fontId="6" fillId="0" borderId="6" xfId="0" applyFont="1" applyBorder="1" applyAlignment="1">
      <alignment horizontal="left"/>
    </xf>
    <xf numFmtId="0" fontId="3" fillId="10" borderId="8" xfId="0" applyFont="1" applyFill="1" applyBorder="1" applyAlignment="1">
      <alignment horizontal="center" wrapText="1"/>
    </xf>
    <xf numFmtId="0" fontId="3" fillId="10" borderId="10" xfId="0" applyFont="1" applyFill="1" applyBorder="1" applyAlignment="1">
      <alignment horizontal="center" wrapText="1"/>
    </xf>
    <xf numFmtId="0" fontId="3" fillId="10" borderId="13" xfId="0" applyFont="1" applyFill="1" applyBorder="1"/>
    <xf numFmtId="0" fontId="3" fillId="10" borderId="6" xfId="0" applyFont="1" applyFill="1" applyBorder="1"/>
    <xf numFmtId="0" fontId="3" fillId="10" borderId="4" xfId="0" applyFont="1" applyFill="1" applyBorder="1" applyAlignment="1">
      <alignment horizontal="center" wrapText="1"/>
    </xf>
    <xf numFmtId="0" fontId="3" fillId="10" borderId="2" xfId="0" applyFont="1" applyFill="1" applyBorder="1" applyAlignment="1">
      <alignment horizontal="center" wrapText="1"/>
    </xf>
    <xf numFmtId="0" fontId="30" fillId="0" borderId="0" xfId="0" applyFont="1" applyAlignment="1">
      <alignment horizontal="left" vertical="center" wrapText="1"/>
    </xf>
    <xf numFmtId="0" fontId="30" fillId="0" borderId="12" xfId="0" applyFont="1" applyBorder="1" applyAlignment="1">
      <alignment horizontal="left" vertical="center" wrapText="1"/>
    </xf>
    <xf numFmtId="166" fontId="3" fillId="0" borderId="13" xfId="0" applyNumberFormat="1" applyFont="1" applyBorder="1" applyAlignment="1">
      <alignment horizontal="left" vertical="center"/>
    </xf>
    <xf numFmtId="166" fontId="3" fillId="0" borderId="6" xfId="0" applyNumberFormat="1" applyFont="1" applyBorder="1" applyAlignment="1">
      <alignment horizontal="left" vertical="center"/>
    </xf>
    <xf numFmtId="165" fontId="3" fillId="0" borderId="0" xfId="0" applyNumberFormat="1" applyFont="1" applyAlignment="1">
      <alignment horizontal="left"/>
    </xf>
    <xf numFmtId="0" fontId="3" fillId="0" borderId="1" xfId="0" applyFont="1" applyBorder="1" applyAlignment="1">
      <alignment horizontal="center" vertical="center" wrapText="1"/>
    </xf>
    <xf numFmtId="0" fontId="3" fillId="0" borderId="13" xfId="0" applyFont="1" applyBorder="1" applyAlignment="1">
      <alignment horizontal="left"/>
    </xf>
    <xf numFmtId="0" fontId="3" fillId="0" borderId="6" xfId="0" applyFont="1" applyBorder="1" applyAlignment="1">
      <alignment horizontal="left"/>
    </xf>
    <xf numFmtId="0" fontId="3" fillId="0" borderId="1" xfId="0" applyFont="1" applyBorder="1"/>
    <xf numFmtId="0" fontId="3" fillId="0" borderId="13" xfId="0" applyFont="1" applyBorder="1" applyAlignment="1">
      <alignment vertical="top" wrapText="1"/>
    </xf>
    <xf numFmtId="0" fontId="3" fillId="0" borderId="6" xfId="0" applyFont="1" applyBorder="1" applyAlignment="1">
      <alignment vertical="top" wrapText="1"/>
    </xf>
    <xf numFmtId="0" fontId="3" fillId="0" borderId="1" xfId="0" applyFont="1" applyBorder="1" applyAlignment="1">
      <alignment horizontal="left"/>
    </xf>
    <xf numFmtId="0" fontId="3" fillId="0" borderId="0" xfId="0" applyFont="1" applyAlignment="1">
      <alignment horizontal="left" vertical="center" wrapText="1"/>
    </xf>
    <xf numFmtId="0" fontId="17" fillId="0" borderId="5" xfId="0" applyFont="1" applyBorder="1" applyAlignment="1">
      <alignment horizontal="center"/>
    </xf>
    <xf numFmtId="0" fontId="1" fillId="0" borderId="6" xfId="0" applyFont="1" applyBorder="1" applyAlignment="1">
      <alignment horizontal="left"/>
    </xf>
    <xf numFmtId="0" fontId="3" fillId="0" borderId="15" xfId="0" applyFont="1" applyBorder="1" applyAlignment="1">
      <alignment horizontal="left"/>
    </xf>
    <xf numFmtId="0" fontId="3" fillId="0" borderId="0" xfId="0" applyFont="1" applyAlignment="1">
      <alignment horizontal="left"/>
    </xf>
    <xf numFmtId="0" fontId="3" fillId="0" borderId="12" xfId="0" applyFont="1" applyBorder="1" applyAlignment="1">
      <alignment horizontal="left"/>
    </xf>
    <xf numFmtId="0" fontId="3" fillId="0" borderId="14" xfId="0" applyFont="1" applyBorder="1" applyAlignment="1">
      <alignment horizontal="left"/>
    </xf>
    <xf numFmtId="0" fontId="2" fillId="0" borderId="0" xfId="0" applyFont="1" applyAlignment="1">
      <alignment horizontal="left"/>
    </xf>
    <xf numFmtId="0" fontId="2" fillId="0" borderId="12" xfId="0" applyFont="1" applyBorder="1" applyAlignment="1">
      <alignment horizontal="left"/>
    </xf>
    <xf numFmtId="0" fontId="17" fillId="0" borderId="0" xfId="0" applyFont="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2" xfId="0" applyFont="1" applyBorder="1" applyAlignment="1">
      <alignment horizontal="center"/>
    </xf>
    <xf numFmtId="0" fontId="3" fillId="0" borderId="8" xfId="0" applyFont="1" applyBorder="1"/>
    <xf numFmtId="0" fontId="3" fillId="0" borderId="9" xfId="0" applyFont="1" applyBorder="1"/>
    <xf numFmtId="0" fontId="3" fillId="0" borderId="10" xfId="0" applyFont="1" applyBorder="1"/>
    <xf numFmtId="0" fontId="2" fillId="0" borderId="11" xfId="0" applyFont="1" applyBorder="1"/>
    <xf numFmtId="0" fontId="2" fillId="0" borderId="12" xfId="0" applyFont="1" applyBorder="1"/>
    <xf numFmtId="0" fontId="2" fillId="0" borderId="4" xfId="0" applyFont="1" applyBorder="1"/>
    <xf numFmtId="0" fontId="2" fillId="0" borderId="5" xfId="0" applyFont="1" applyBorder="1"/>
    <xf numFmtId="0" fontId="2" fillId="0" borderId="2" xfId="0" applyFont="1" applyBorder="1"/>
    <xf numFmtId="0" fontId="6" fillId="4" borderId="1" xfId="0" applyFont="1" applyFill="1" applyBorder="1" applyAlignment="1">
      <alignment horizontal="left"/>
    </xf>
    <xf numFmtId="0" fontId="3" fillId="0" borderId="1" xfId="0" applyFont="1" applyBorder="1" applyAlignment="1">
      <alignment horizontal="center"/>
    </xf>
    <xf numFmtId="0" fontId="19" fillId="0" borderId="1" xfId="0" applyFont="1" applyBorder="1" applyAlignment="1">
      <alignment vertical="center"/>
    </xf>
    <xf numFmtId="0" fontId="3" fillId="0" borderId="1" xfId="0" applyFont="1" applyBorder="1" applyAlignment="1">
      <alignment horizontal="left" vertical="center"/>
    </xf>
    <xf numFmtId="0" fontId="2" fillId="0" borderId="0" xfId="0" applyFont="1" applyAlignment="1">
      <alignment horizontal="center" wrapText="1"/>
    </xf>
    <xf numFmtId="0" fontId="20" fillId="0" borderId="1" xfId="0" applyFont="1" applyBorder="1" applyAlignment="1">
      <alignment vertical="center"/>
    </xf>
    <xf numFmtId="0" fontId="4" fillId="0" borderId="0" xfId="0" applyFont="1" applyAlignment="1">
      <alignment horizontal="center" wrapText="1"/>
    </xf>
    <xf numFmtId="165" fontId="6" fillId="0" borderId="11" xfId="0" applyNumberFormat="1" applyFont="1" applyBorder="1" applyAlignment="1">
      <alignment horizontal="left" vertical="top" wrapText="1"/>
    </xf>
    <xf numFmtId="165" fontId="6" fillId="0" borderId="0" xfId="0" applyNumberFormat="1" applyFont="1" applyAlignment="1">
      <alignment horizontal="left" vertical="top" wrapText="1"/>
    </xf>
    <xf numFmtId="0" fontId="44" fillId="0" borderId="5" xfId="0" applyFont="1" applyBorder="1" applyAlignment="1">
      <alignment horizontal="center" wrapText="1"/>
    </xf>
    <xf numFmtId="1" fontId="3" fillId="6" borderId="15" xfId="0" applyNumberFormat="1" applyFont="1" applyFill="1" applyBorder="1" applyAlignment="1">
      <alignment horizontal="center"/>
    </xf>
  </cellXfs>
  <cellStyles count="1">
    <cellStyle name="Normal" xfId="0" builtinId="0"/>
  </cellStyles>
  <dxfs count="1240">
    <dxf>
      <font>
        <b val="0"/>
        <i val="0"/>
        <strike val="0"/>
        <condense val="0"/>
        <extend val="0"/>
        <outline val="0"/>
        <shadow val="0"/>
        <u val="none"/>
        <vertAlign val="baseline"/>
        <sz val="11"/>
        <color theme="1"/>
        <name val="Arial Narrow"/>
        <family val="2"/>
        <scheme val="none"/>
      </font>
      <numFmt numFmtId="1" formatCode="0"/>
      <fill>
        <patternFill patternType="solid">
          <fgColor theme="4" tint="0.79998168889431442"/>
          <bgColor theme="0"/>
        </patternFill>
      </fill>
      <border diagonalUp="0" diagonalDown="0" outline="0">
        <left style="thin">
          <color auto="1"/>
        </left>
        <right/>
        <top style="thin">
          <color auto="1"/>
        </top>
        <bottom style="thin">
          <color theme="4" tint="0.39997558519241921"/>
        </bottom>
      </border>
    </dxf>
    <dxf>
      <font>
        <b val="0"/>
        <i val="0"/>
        <strike val="0"/>
        <condense val="0"/>
        <extend val="0"/>
        <outline val="0"/>
        <shadow val="0"/>
        <u val="none"/>
        <vertAlign val="baseline"/>
        <sz val="11"/>
        <color theme="1"/>
        <name val="Arial Narrow"/>
        <family val="2"/>
        <scheme val="none"/>
      </font>
      <numFmt numFmtId="1" formatCode="0"/>
      <fill>
        <patternFill patternType="solid">
          <fgColor theme="4" tint="0.79998168889431442"/>
          <bgColor theme="0"/>
        </patternFill>
      </fill>
      <border diagonalUp="0" diagonalDown="0" outline="0">
        <left style="thin">
          <color auto="1"/>
        </left>
        <right/>
        <top style="thin">
          <color auto="1"/>
        </top>
        <bottom style="thin">
          <color theme="4" tint="0.39997558519241921"/>
        </bottom>
      </border>
    </dxf>
    <dxf>
      <font>
        <b val="0"/>
        <i val="0"/>
        <strike val="0"/>
        <condense val="0"/>
        <extend val="0"/>
        <outline val="0"/>
        <shadow val="0"/>
        <u val="none"/>
        <vertAlign val="baseline"/>
        <sz val="11"/>
        <color theme="1"/>
        <name val="Arial Narrow"/>
        <family val="2"/>
        <scheme val="none"/>
      </font>
      <numFmt numFmtId="1" formatCode="0"/>
      <fill>
        <patternFill patternType="solid">
          <fgColor theme="4" tint="0.79998168889431442"/>
          <bgColor theme="0"/>
        </patternFill>
      </fill>
      <border diagonalUp="0" diagonalDown="0" outline="0">
        <left style="thin">
          <color auto="1"/>
        </left>
        <right/>
        <top style="thin">
          <color auto="1"/>
        </top>
        <bottom style="thin">
          <color theme="4" tint="0.39997558519241921"/>
        </bottom>
      </border>
    </dxf>
    <dxf>
      <font>
        <b val="0"/>
        <i val="0"/>
        <strike val="0"/>
        <condense val="0"/>
        <extend val="0"/>
        <outline val="0"/>
        <shadow val="0"/>
        <u val="none"/>
        <vertAlign val="baseline"/>
        <sz val="11"/>
        <color theme="1"/>
        <name val="Arial Narrow"/>
        <family val="2"/>
        <scheme val="none"/>
      </font>
      <numFmt numFmtId="1" formatCode="0"/>
      <fill>
        <patternFill patternType="solid">
          <fgColor theme="4" tint="0.79998168889431442"/>
          <bgColor theme="0"/>
        </patternFill>
      </fill>
      <border diagonalUp="0" diagonalDown="0" outline="0">
        <left style="thin">
          <color auto="1"/>
        </left>
        <right/>
        <top style="thin">
          <color auto="1"/>
        </top>
        <bottom style="thin">
          <color theme="4" tint="0.39997558519241921"/>
        </bottom>
      </border>
    </dxf>
    <dxf>
      <fill>
        <patternFill>
          <bgColor theme="0"/>
        </patternFill>
      </fill>
    </dxf>
    <dxf>
      <font>
        <b val="0"/>
        <i val="0"/>
        <strike val="0"/>
        <condense val="0"/>
        <extend val="0"/>
        <outline val="0"/>
        <shadow val="0"/>
        <u val="none"/>
        <vertAlign val="baseline"/>
        <sz val="11"/>
        <color theme="1"/>
        <name val="Arial Narrow"/>
        <family val="2"/>
        <scheme val="none"/>
      </font>
      <numFmt numFmtId="1" formatCode="0"/>
      <fill>
        <patternFill patternType="solid">
          <fgColor theme="4" tint="0.79998168889431442"/>
          <bgColor theme="0"/>
        </patternFill>
      </fill>
      <border diagonalUp="0" diagonalDown="0" outline="0">
        <left style="thin">
          <color auto="1"/>
        </left>
        <right/>
        <top style="thin">
          <color auto="1"/>
        </top>
        <bottom style="thin">
          <color theme="4" tint="0.39997558519241921"/>
        </bottom>
      </border>
    </dxf>
    <dxf>
      <font>
        <b val="0"/>
        <i val="0"/>
        <strike val="0"/>
        <condense val="0"/>
        <extend val="0"/>
        <outline val="0"/>
        <shadow val="0"/>
        <u val="none"/>
        <vertAlign val="baseline"/>
        <sz val="11"/>
        <color theme="1"/>
        <name val="Arial Narrow"/>
        <family val="2"/>
        <scheme val="none"/>
      </font>
      <numFmt numFmtId="1" formatCode="0"/>
      <fill>
        <patternFill patternType="solid">
          <fgColor theme="4" tint="0.79998168889431442"/>
          <bgColor theme="0"/>
        </patternFill>
      </fill>
      <border diagonalUp="0" diagonalDown="0" outline="0">
        <left style="thin">
          <color auto="1"/>
        </left>
        <right/>
        <top style="thin">
          <color auto="1"/>
        </top>
        <bottom style="thin">
          <color theme="4" tint="0.39997558519241921"/>
        </bottom>
      </border>
    </dxf>
    <dxf>
      <fill>
        <patternFill>
          <bgColor theme="0"/>
        </patternFill>
      </fill>
    </dxf>
    <dxf>
      <font>
        <b val="0"/>
        <i val="0"/>
        <strike val="0"/>
        <condense val="0"/>
        <extend val="0"/>
        <outline val="0"/>
        <shadow val="0"/>
        <u val="none"/>
        <vertAlign val="baseline"/>
        <sz val="11"/>
        <color theme="1"/>
        <name val="Arial Narrow"/>
        <family val="2"/>
        <scheme val="none"/>
      </font>
      <numFmt numFmtId="1" formatCode="0"/>
      <fill>
        <patternFill patternType="solid">
          <fgColor theme="4" tint="0.79998168889431442"/>
          <bgColor theme="0"/>
        </patternFill>
      </fill>
      <border diagonalUp="0" diagonalDown="0" outline="0">
        <left style="thin">
          <color auto="1"/>
        </left>
        <right/>
        <top style="thin">
          <color auto="1"/>
        </top>
        <bottom style="thin">
          <color theme="4" tint="0.39997558519241921"/>
        </bottom>
      </border>
    </dxf>
    <dxf>
      <font>
        <b val="0"/>
        <i val="0"/>
        <strike val="0"/>
        <condense val="0"/>
        <extend val="0"/>
        <outline val="0"/>
        <shadow val="0"/>
        <u val="none"/>
        <vertAlign val="baseline"/>
        <sz val="11"/>
        <color theme="1"/>
        <name val="Arial Narrow"/>
        <family val="2"/>
        <scheme val="none"/>
      </font>
      <numFmt numFmtId="1" formatCode="0"/>
      <fill>
        <patternFill patternType="solid">
          <fgColor theme="4" tint="0.79998168889431442"/>
          <bgColor theme="0"/>
        </patternFill>
      </fill>
      <border diagonalUp="0" diagonalDown="0" outline="0">
        <left style="thin">
          <color auto="1"/>
        </left>
        <right/>
        <top style="thin">
          <color auto="1"/>
        </top>
        <bottom style="thin">
          <color theme="4" tint="0.39997558519241921"/>
        </bottom>
      </border>
    </dxf>
    <dxf>
      <font>
        <b val="0"/>
        <i val="0"/>
        <strike val="0"/>
        <condense val="0"/>
        <extend val="0"/>
        <outline val="0"/>
        <shadow val="0"/>
        <u val="none"/>
        <vertAlign val="baseline"/>
        <sz val="11"/>
        <color theme="1"/>
        <name val="Arial Narrow"/>
        <family val="2"/>
        <scheme val="none"/>
      </font>
      <numFmt numFmtId="1" formatCode="0"/>
      <fill>
        <patternFill patternType="solid">
          <fgColor theme="4" tint="0.79998168889431442"/>
          <bgColor theme="0"/>
        </patternFill>
      </fill>
      <border diagonalUp="0" diagonalDown="0" outline="0">
        <left style="thin">
          <color auto="1"/>
        </left>
        <right/>
        <top style="thin">
          <color auto="1"/>
        </top>
        <bottom style="thin">
          <color theme="4" tint="0.39997558519241921"/>
        </bottom>
      </border>
    </dxf>
    <dxf>
      <font>
        <b val="0"/>
        <i val="0"/>
        <strike val="0"/>
        <condense val="0"/>
        <extend val="0"/>
        <outline val="0"/>
        <shadow val="0"/>
        <u val="none"/>
        <vertAlign val="baseline"/>
        <sz val="11"/>
        <color theme="1"/>
        <name val="Arial Narrow"/>
        <family val="2"/>
        <scheme val="none"/>
      </font>
      <fill>
        <patternFill patternType="solid">
          <fgColor theme="4" tint="0.79998168889431442"/>
          <bgColor theme="0"/>
        </patternFill>
      </fill>
      <border diagonalUp="0" diagonalDown="0" outline="0">
        <left/>
        <right style="thin">
          <color indexed="64"/>
        </right>
        <top style="thin">
          <color indexed="64"/>
        </top>
        <bottom style="thin">
          <color indexed="64"/>
        </bottom>
      </border>
    </dxf>
    <dxf>
      <border outline="0">
        <top style="thin">
          <color auto="1"/>
        </top>
      </border>
    </dxf>
    <dxf>
      <border outline="0">
        <left style="thin">
          <color auto="1"/>
        </left>
        <right style="thin">
          <color auto="1"/>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fill>
        <patternFill patternType="solid">
          <fgColor theme="4" tint="0.79998168889431442"/>
          <bgColor theme="0"/>
        </patternFill>
      </fill>
    </dxf>
    <dxf>
      <border outline="0">
        <bottom style="thin">
          <color indexed="64"/>
        </bottom>
      </border>
    </dxf>
    <dxf>
      <font>
        <b/>
        <i val="0"/>
        <strike val="0"/>
        <condense val="0"/>
        <extend val="0"/>
        <outline val="0"/>
        <shadow val="0"/>
        <u val="none"/>
        <vertAlign val="baseline"/>
        <sz val="11"/>
        <color auto="1"/>
        <name val="Arial Narrow"/>
        <family val="2"/>
        <scheme val="none"/>
      </font>
      <fill>
        <patternFill patternType="solid">
          <fgColor theme="4"/>
          <bgColor theme="2" tint="-0.249977111117893"/>
        </patternFill>
      </fill>
      <border diagonalUp="0" diagonalDown="0" outline="0">
        <left style="thin">
          <color indexed="64"/>
        </left>
        <right style="thin">
          <color indexed="64"/>
        </right>
        <top/>
        <bottom/>
      </border>
    </dxf>
    <dxf>
      <font>
        <name val="Arial Narrow"/>
        <family val="2"/>
        <scheme val="none"/>
      </font>
      <fill>
        <patternFill patternType="solid">
          <fgColor indexed="64"/>
          <bgColor theme="0"/>
        </patternFill>
      </fill>
      <border diagonalUp="0" diagonalDown="0" outline="0">
        <left style="thin">
          <color auto="1"/>
        </left>
        <right style="thin">
          <color indexed="64"/>
        </right>
        <top style="thin">
          <color auto="1"/>
        </top>
        <bottom style="thin">
          <color auto="1"/>
        </bottom>
      </border>
    </dxf>
    <dxf>
      <font>
        <name val="Arial Narrow"/>
        <family val="2"/>
        <scheme val="none"/>
      </font>
      <fill>
        <patternFill patternType="solid">
          <fgColor indexed="64"/>
          <bgColor theme="0"/>
        </patternFill>
      </fill>
      <border diagonalUp="0" diagonalDown="0" outline="0">
        <left style="thin">
          <color auto="1"/>
        </left>
        <right style="thin">
          <color auto="1"/>
        </right>
        <top style="thin">
          <color auto="1"/>
        </top>
        <bottom style="thin">
          <color auto="1"/>
        </bottom>
      </border>
    </dxf>
    <dxf>
      <font>
        <name val="Arial Narrow"/>
        <family val="2"/>
        <scheme val="none"/>
      </font>
      <fill>
        <patternFill patternType="solid">
          <fgColor indexed="64"/>
          <bgColor theme="0"/>
        </patternFill>
      </fill>
      <border diagonalUp="0" diagonalDown="0" outline="0">
        <left style="thin">
          <color auto="1"/>
        </left>
        <right style="thin">
          <color auto="1"/>
        </right>
        <top style="thin">
          <color auto="1"/>
        </top>
        <bottom style="thin">
          <color auto="1"/>
        </bottom>
      </border>
    </dxf>
    <dxf>
      <font>
        <name val="Arial Narrow"/>
        <family val="2"/>
        <scheme val="none"/>
      </font>
      <fill>
        <patternFill patternType="solid">
          <fgColor indexed="64"/>
          <bgColor theme="0"/>
        </patternFill>
      </fill>
      <border diagonalUp="0" diagonalDown="0" outline="0">
        <left style="thin">
          <color auto="1"/>
        </left>
        <right style="thin">
          <color auto="1"/>
        </right>
        <top style="thin">
          <color auto="1"/>
        </top>
        <bottom style="thin">
          <color auto="1"/>
        </bottom>
      </border>
    </dxf>
    <dxf>
      <font>
        <name val="Arial Narrow"/>
        <family val="2"/>
        <scheme val="none"/>
      </font>
      <fill>
        <patternFill patternType="solid">
          <fgColor indexed="64"/>
          <bgColor theme="0"/>
        </patternFill>
      </fill>
      <border diagonalUp="0" diagonalDown="0" outline="0">
        <left style="thin">
          <color auto="1"/>
        </left>
        <right style="thin">
          <color auto="1"/>
        </right>
        <top style="thin">
          <color auto="1"/>
        </top>
        <bottom style="thin">
          <color auto="1"/>
        </bottom>
      </border>
    </dxf>
    <dxf>
      <font>
        <name val="Arial Narrow"/>
        <family val="2"/>
        <scheme val="none"/>
      </font>
      <fill>
        <patternFill patternType="solid">
          <fgColor indexed="64"/>
          <bgColor theme="0"/>
        </patternFill>
      </fill>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style="thin">
          <color auto="1"/>
        </right>
        <top style="thin">
          <color indexed="64"/>
        </top>
        <bottom style="thin">
          <color indexed="64"/>
        </bottom>
      </border>
    </dxf>
    <dxf>
      <font>
        <b val="0"/>
        <i/>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outline="0">
        <bottom style="thin">
          <color auto="1"/>
        </bottom>
      </border>
    </dxf>
    <dxf>
      <font>
        <b/>
        <i val="0"/>
        <strike val="0"/>
        <condense val="0"/>
        <extend val="0"/>
        <outline val="0"/>
        <shadow val="0"/>
        <u val="none"/>
        <vertAlign val="baseline"/>
        <sz val="11"/>
        <color auto="1"/>
        <name val="Arial Narrow"/>
        <family val="2"/>
        <scheme val="none"/>
      </font>
      <fill>
        <patternFill patternType="solid">
          <fgColor indexed="64"/>
          <bgColor theme="2" tint="-0.249977111117893"/>
        </patternFill>
      </fill>
      <alignment horizontal="left"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6" formatCode="0.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6" formatCode="0.0000"/>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6" formatCode="0.0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6" formatCode="0.0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6" formatCode="0.0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theme="0" tint="-0.14999847407452621"/>
        </top>
        <bottom style="thin">
          <color theme="0" tint="-0.14999847407452621"/>
        </bottom>
        <vertical/>
        <horizontal/>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tint="-4.9989318521683403E-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6" formatCode="0.0000"/>
      <fill>
        <patternFill patternType="solid">
          <fgColor indexed="64"/>
          <bgColor theme="0" tint="-4.9989318521683403E-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6" formatCode="0.0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bottom style="thin">
          <color indexed="64"/>
        </bottom>
      </border>
    </dxf>
    <dxf>
      <border outline="0">
        <left style="thin">
          <color indexed="64"/>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bottom style="thin">
          <color indexed="64"/>
        </bottom>
      </border>
    </dxf>
    <dxf>
      <border outline="0">
        <left style="thin">
          <color indexed="64"/>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bottom style="thin">
          <color indexed="64"/>
        </bottom>
      </border>
    </dxf>
    <dxf>
      <border outline="0">
        <left style="thin">
          <color indexed="64"/>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bottom style="thin">
          <color indexed="64"/>
        </bottom>
      </border>
    </dxf>
    <dxf>
      <border outline="0">
        <left style="thin">
          <color indexed="64"/>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bottom style="thin">
          <color indexed="64"/>
        </bottom>
      </border>
    </dxf>
    <dxf>
      <border outline="0">
        <left style="thin">
          <color indexed="64"/>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bottom style="thin">
          <color indexed="64"/>
        </bottom>
      </border>
    </dxf>
    <dxf>
      <border outline="0">
        <left style="thin">
          <color indexed="64"/>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bottom style="thin">
          <color indexed="64"/>
        </bottom>
      </border>
    </dxf>
    <dxf>
      <border outline="0">
        <left style="thin">
          <color indexed="64"/>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bottom style="thin">
          <color indexed="64"/>
        </bottom>
      </border>
    </dxf>
    <dxf>
      <border outline="0">
        <left style="thin">
          <color indexed="64"/>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theme="0" tint="-0.14999847407452621"/>
        </top>
        <bottom style="thin">
          <color theme="0" tint="-0.14999847407452621"/>
        </bottom>
        <vertical/>
        <horizontal/>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bottom style="thin">
          <color indexed="64"/>
        </bottom>
      </border>
    </dxf>
    <dxf>
      <border outline="0">
        <left style="thin">
          <color indexed="64"/>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auto="1"/>
        <name val="Arial Narrow"/>
        <family val="2"/>
        <scheme val="none"/>
      </font>
      <numFmt numFmtId="165" formatCode="0.000"/>
      <fill>
        <patternFill patternType="solid">
          <fgColor indexed="64"/>
          <bgColor theme="2"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0" formatCode="General"/>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1"/>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ck">
          <color indexed="64"/>
        </left>
        <right style="thin">
          <color indexed="64"/>
        </right>
        <top style="thin">
          <color auto="1"/>
        </top>
        <bottom style="thin">
          <color indexed="64"/>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1"/>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1"/>
        <color theme="1"/>
        <name val="Arial Narrow"/>
        <family val="2"/>
        <scheme val="none"/>
      </font>
      <alignment horizontal="center" vertical="bottom" textRotation="0" wrapText="0" indent="0" justifyLastLine="0" shrinkToFit="0" readingOrder="0"/>
    </dxf>
    <dxf>
      <font>
        <b/>
        <i val="0"/>
        <strike val="0"/>
        <condense val="0"/>
        <extend val="0"/>
        <outline val="0"/>
        <shadow val="0"/>
        <u val="none"/>
        <vertAlign val="baseline"/>
        <sz val="11"/>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top style="thin">
          <color theme="0" tint="-0.14999847407452621"/>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top style="thin">
          <color theme="0" tint="-0.14999847407452621"/>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top style="thin">
          <color theme="0" tint="-0.14999847407452621"/>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top style="thin">
          <color theme="0" tint="-0.14999847407452621"/>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top style="thin">
          <color theme="0" tint="-0.14999847407452621"/>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top style="thin">
          <color theme="0" tint="-0.14999847407452621"/>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top style="thin">
          <color theme="0" tint="-0.14999847407452621"/>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top style="thin">
          <color theme="0" tint="-0.14999847407452621"/>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auto="1"/>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0" formatCode="General"/>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thin">
          <color theme="0" tint="-0.14999847407452621"/>
        </top>
        <bottom style="thin">
          <color theme="0" tint="-0.1499984740745262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auto="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i val="0"/>
        <strike val="0"/>
        <condense val="0"/>
        <extend val="0"/>
        <outline val="0"/>
        <shadow val="0"/>
        <u val="none"/>
        <vertAlign val="baseline"/>
        <sz val="14"/>
        <color theme="0"/>
        <name val="Arial Narrow"/>
        <family val="2"/>
        <scheme val="none"/>
      </font>
      <numFmt numFmtId="165" formatCode="0.000"/>
      <fill>
        <patternFill patternType="solid">
          <fgColor indexed="64"/>
          <bgColor theme="0"/>
        </patternFill>
      </fill>
      <alignment horizontal="center" vertical="center" textRotation="0" wrapText="0" indent="0" justifyLastLine="0" shrinkToFit="0" readingOrder="0"/>
      <border diagonalUp="0" diagonalDown="0" outline="0">
        <left style="thin">
          <color auto="1"/>
        </left>
        <right style="thin">
          <color auto="1"/>
        </right>
        <top/>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tint="-4.9989318521683403E-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165" formatCode="0.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2" formatCode="0.00"/>
      <fill>
        <patternFill patternType="solid">
          <fgColor indexed="64"/>
          <bgColor theme="0"/>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fill>
        <patternFill patternType="solid">
          <fgColor indexed="64"/>
          <bgColor theme="4" tint="0.79998168889431442"/>
        </patternFill>
      </fill>
      <alignment horizontal="center" vertical="bottom" textRotation="0" wrapText="0" indent="0" justifyLastLine="0" shrinkToFit="0" readingOrder="0"/>
      <border diagonalUp="0" diagonalDown="0"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14"/>
        <color theme="1"/>
        <name val="Arial Narrow"/>
        <family val="2"/>
        <scheme val="none"/>
      </font>
      <numFmt numFmtId="0" formatCode="General"/>
      <fill>
        <patternFill patternType="solid">
          <fgColor indexed="64"/>
          <bgColor theme="0"/>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auto="1"/>
        </left>
        <right style="thin">
          <color auto="1"/>
        </right>
      </border>
    </dxf>
    <dxf>
      <font>
        <b val="0"/>
        <i val="0"/>
        <strike val="0"/>
        <condense val="0"/>
        <extend val="0"/>
        <outline val="0"/>
        <shadow val="0"/>
        <u val="none"/>
        <vertAlign val="baseline"/>
        <sz val="14"/>
        <color theme="1"/>
        <name val="Arial Narrow"/>
        <family val="2"/>
        <scheme val="none"/>
      </font>
      <numFmt numFmtId="165" formatCode="0.000"/>
      <alignment horizontal="center" vertical="bottom" textRotation="0" wrapText="0" indent="0" justifyLastLine="0" shrinkToFit="0" readingOrder="0"/>
    </dxf>
    <dxf>
      <font>
        <b/>
        <i val="0"/>
        <strike val="0"/>
        <condense val="0"/>
        <extend val="0"/>
        <outline val="0"/>
        <shadow val="0"/>
        <u val="none"/>
        <vertAlign val="baseline"/>
        <sz val="14"/>
        <color theme="1"/>
        <name val="Arial Narrow"/>
        <family val="2"/>
        <scheme val="none"/>
      </font>
      <numFmt numFmtId="165" formatCode="0.000"/>
      <alignment horizontal="center" vertical="center"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microsoft.com/office/2022/11/relationships/FeaturePropertyBag" Target="featurePropertyBag/featurePropertyBag.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eetMetadata" Target="metadata.xml"/><Relationship Id="rId38"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37"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36"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theme" Target="theme/theme1.xml"/><Relationship Id="rId35"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universityofexeteruk-my.sharepoint.com/personal/fh392_exeter_ac_uk/Documents/Documents/SedBudgetDevolpment/Example%20Datasets/Chesca%20SedBudget%2022_02_26EXAMPLEDATA1.xlsx" TargetMode="External"/><Relationship Id="rId1" Type="http://schemas.openxmlformats.org/officeDocument/2006/relationships/externalLinkPath" Target="Example%20Datasets/Chesca%20SedBudget%2022_02_26EXAMPLEDATA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universityofexeteruk-my.sharepoint.com/personal/fh392_exeter_ac_uk/Documents/Documents/SedBudgetDevolpment/Transect%20Workbook%20Testing%2005_03_26.xlsm" TargetMode="External"/><Relationship Id="rId1" Type="http://schemas.openxmlformats.org/officeDocument/2006/relationships/externalLinkPath" Target="Transect%20Workbook%20Testing%2005_03_26.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ttps://universityofexeteruk-my.sharepoint.com/personal/fh392_exeter_ac_uk/Documents/Documents/Halimeda%20Related%20Files/Halimeda%20Sed%20Production%20NEW%20CROPS.xlsx" TargetMode="External"/><Relationship Id="rId1" Type="http://schemas.openxmlformats.org/officeDocument/2006/relationships/externalLinkPath" Target="Example%20Datasets/Halimeda%20Related%20Files/Halimeda%20Sed%20Production%20NEW%20CR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verview"/>
      <sheetName val="Transect Summary"/>
      <sheetName val="Substrate"/>
      <sheetName val="Fish"/>
      <sheetName val="Fish metrics"/>
      <sheetName val="Urchins Bioerosion"/>
      <sheetName val="Urchins Skeletal"/>
      <sheetName val="Endolithic sponges"/>
      <sheetName val="Amphiroa"/>
      <sheetName val="Amphiroa metrics"/>
      <sheetName val="Halimeda"/>
      <sheetName val="Halimeda metrics"/>
      <sheetName val="Penicillus"/>
      <sheetName val="Penicillus metrics"/>
      <sheetName val="Udotea"/>
      <sheetName val="Udotea metrics"/>
      <sheetName val="Rhipocephalus"/>
      <sheetName val="Rhipocephalus metrics"/>
      <sheetName val="Acetabularia"/>
      <sheetName val="Acetabularia metrics"/>
      <sheetName val="Bivalves"/>
      <sheetName val="Gastropods"/>
      <sheetName val="Benthic foraminifera"/>
      <sheetName val="Seagrass epiphytes"/>
      <sheetName val="Seagrass metrics"/>
      <sheetName val="Brittlesta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verview"/>
      <sheetName val="Grain Constituent Metrics"/>
      <sheetName val="Transect Summary"/>
      <sheetName val="Substrate"/>
      <sheetName val="Parrotfish"/>
      <sheetName val="Parrotfish metrics"/>
      <sheetName val="Urchins Bioerosion"/>
      <sheetName val="Urchins Skeletal"/>
      <sheetName val="Endolithic Sponges"/>
      <sheetName val="Articulated Coralline Alage"/>
      <sheetName val="ACA metrics"/>
      <sheetName val="Halimeda"/>
      <sheetName val="Halimeda metrics"/>
      <sheetName val="Penicillus"/>
      <sheetName val="Penicillus metrics"/>
      <sheetName val="Udotea"/>
      <sheetName val="Udotea metrics"/>
      <sheetName val="Rhipocephalus"/>
      <sheetName val="Rhipocephalus metrics"/>
      <sheetName val="Acetabularia"/>
      <sheetName val="Acetabularia metrics"/>
      <sheetName val="Bivalves"/>
      <sheetName val="Gastropods"/>
      <sheetName val="Benthic Foraminifera"/>
      <sheetName val="Seagrass Epiphytes"/>
      <sheetName val="Seagrass metrics"/>
      <sheetName val="Brittle stars"/>
      <sheetName val="Brittle star metric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1">
          <cell r="C11">
            <v>1</v>
          </cell>
          <cell r="D11" t="str">
            <v>Vase-shaped</v>
          </cell>
          <cell r="E11">
            <v>3.3500000000000002E-2</v>
          </cell>
          <cell r="H11">
            <v>7.4</v>
          </cell>
        </row>
        <row r="12">
          <cell r="C12">
            <v>2</v>
          </cell>
          <cell r="D12" t="str">
            <v>Fan-shaped</v>
          </cell>
          <cell r="E12">
            <v>0.26200000000000001</v>
          </cell>
          <cell r="H12">
            <v>8.1</v>
          </cell>
        </row>
        <row r="13">
          <cell r="C13">
            <v>3</v>
          </cell>
        </row>
        <row r="14">
          <cell r="C14">
            <v>4</v>
          </cell>
        </row>
      </sheetData>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P5"/>
      <sheetName val="RP4"/>
      <sheetName val="RP3"/>
      <sheetName val="RP2"/>
      <sheetName val="RP1"/>
      <sheetName val="TAN5"/>
      <sheetName val="TAN4"/>
      <sheetName val="TAN3"/>
      <sheetName val="TAN2"/>
      <sheetName val="TAN1"/>
      <sheetName val="LI5"/>
      <sheetName val="LI4"/>
      <sheetName val="LI3"/>
      <sheetName val="LI2"/>
      <sheetName val="LI1"/>
      <sheetName val="LC6"/>
      <sheetName val="LC5"/>
      <sheetName val="LC4"/>
      <sheetName val="LC3"/>
      <sheetName val="LC2"/>
      <sheetName val="LC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1">
          <cell r="C11">
            <v>1</v>
          </cell>
          <cell r="D11">
            <v>9.8354999999999997</v>
          </cell>
          <cell r="E11" t="str">
            <v>based on incrassata</v>
          </cell>
          <cell r="G11">
            <v>10.1</v>
          </cell>
          <cell r="H11" t="str">
            <v>based on incrassata</v>
          </cell>
          <cell r="J11">
            <v>8.0000000000000002E-3</v>
          </cell>
          <cell r="K11" t="str">
            <v>based on incrassata</v>
          </cell>
          <cell r="M11" t="str">
            <v>EC</v>
          </cell>
        </row>
        <row r="12">
          <cell r="C12">
            <v>2</v>
          </cell>
          <cell r="D12">
            <v>9.8354999999999997</v>
          </cell>
          <cell r="E12" t="str">
            <v>Eleuthera (lagoon) - Perry et al. 2019. Frontier in Mar Sci.</v>
          </cell>
          <cell r="G12">
            <v>10.1</v>
          </cell>
          <cell r="H12" t="str">
            <v>average from metrics sheet (caribbean only)</v>
          </cell>
          <cell r="J12">
            <v>8.0000000000000002E-3</v>
          </cell>
          <cell r="K12" t="str">
            <v>average from metrics sheet (caribbean only)</v>
          </cell>
          <cell r="M12" t="str">
            <v>EC</v>
          </cell>
        </row>
        <row r="13">
          <cell r="C13">
            <v>3</v>
          </cell>
          <cell r="D13">
            <v>16.359400000000001</v>
          </cell>
          <cell r="E13" t="str">
            <v>Mexican Caribbean - Chesca's data</v>
          </cell>
          <cell r="G13">
            <v>1.9</v>
          </cell>
          <cell r="H13" t="str">
            <v xml:space="preserve">St. Croix (lagoon) - Multer and Clavijo (2004) </v>
          </cell>
          <cell r="J13">
            <v>6.2983730000000003E-3</v>
          </cell>
          <cell r="K13" t="str">
            <v>Mexican Caribbean - Chesca's data</v>
          </cell>
          <cell r="M13" t="str">
            <v>HE</v>
          </cell>
        </row>
        <row r="14">
          <cell r="C14">
            <v>4</v>
          </cell>
          <cell r="D14">
            <v>24.832699999999999</v>
          </cell>
          <cell r="E14" t="str">
            <v>Mexican Caribbean - Chesca's data</v>
          </cell>
          <cell r="G14">
            <v>1.9</v>
          </cell>
          <cell r="H14" t="str">
            <v>based on opuntia</v>
          </cell>
          <cell r="J14">
            <v>1.7446670000000001E-3</v>
          </cell>
          <cell r="K14" t="str">
            <v>Mexican Caribbean - Chesca's data</v>
          </cell>
          <cell r="M14" t="str">
            <v>HE</v>
          </cell>
        </row>
        <row r="15">
          <cell r="C15">
            <v>5</v>
          </cell>
          <cell r="D15">
            <v>5.0650000000000004</v>
          </cell>
          <cell r="E15" t="str">
            <v>Mexican Caribbean - Chesca's data</v>
          </cell>
          <cell r="G15">
            <v>4</v>
          </cell>
          <cell r="H15" t="str">
            <v>based on discoidea</v>
          </cell>
          <cell r="J15">
            <v>8.5387120000000004E-3</v>
          </cell>
          <cell r="K15" t="str">
            <v>Mexican Caribbean - Chesca's data</v>
          </cell>
          <cell r="M15" t="str">
            <v>EC</v>
          </cell>
        </row>
        <row r="16">
          <cell r="C16">
            <v>6</v>
          </cell>
          <cell r="D16">
            <v>1.2927</v>
          </cell>
          <cell r="E16" t="str">
            <v>Mexican Caribbean - Chesca's data</v>
          </cell>
          <cell r="G16">
            <v>4</v>
          </cell>
          <cell r="H16" t="str">
            <v>New Caledonia (shallow lagoon) Garrigue (1991) Oceanologica Acta   14: 581-588.</v>
          </cell>
          <cell r="J16">
            <v>6.0990480000000001E-3</v>
          </cell>
          <cell r="K16" t="str">
            <v>Mexican Caribbean - Chesca's data</v>
          </cell>
          <cell r="M16" t="str">
            <v>EC</v>
          </cell>
        </row>
      </sheetData>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81DAA57-8C11-433D-929E-DE549EF793B7}" name="TableA2" displayName="TableA2" ref="A51:U61" totalsRowShown="0" headerRowDxfId="1239" dataDxfId="1238" tableBorderDxfId="1237">
  <tableColumns count="21">
    <tableColumn id="1" xr3:uid="{CE736AEE-0ADD-4FA1-84DF-4A27AF5AAC54}" name="Quadrat #" dataDxfId="1236">
      <calculatedColumnFormula>2</calculatedColumnFormula>
    </tableColumn>
    <tableColumn id="2" xr3:uid="{FE71F8EC-D241-40E0-9BFC-A78E9AC2A3BA}" name="Species / morphology code (select from above)" dataDxfId="1235"/>
    <tableColumn id="3" xr3:uid="{47DE68DC-D738-49BC-A6CE-2CE2AA096E13}" name=" width  (mm)" dataDxfId="1234"/>
    <tableColumn id="4" xr3:uid="{9613B9EB-51EC-4C6D-A1C3-40B1D16D414E}" name="depth (mm)" dataDxfId="1233"/>
    <tableColumn id="5" xr3:uid="{8A99DD16-C72E-4E2A-AC8F-B9BD2A4BE4C2}" name="height h (mm)" dataDxfId="1232"/>
    <tableColumn id="6" xr3:uid="{53DAEEBB-9A6C-4B7D-AD61-34E97C9F4C51}" name="Total thallus volume (cm3)" dataDxfId="1231">
      <calculatedColumnFormula>(0.5*(4/3*(PI()*((C52*0.5)*(D52*0.5)*E52)))/1000)</calculatedColumnFormula>
    </tableColumn>
    <tableColumn id="7" xr3:uid="{426AD9FD-1FF5-4981-ADC4-8A742801629E}" name="Growth rate (mm/day)" dataDxfId="1230">
      <calculatedColumnFormula>IF(B52=1,$D$11,IF(B52=2,$D$12,IF(B52=3,$D$13,IF(B52=4,$D$14,IF(B52=5,$D$15,IF(B52=6,$D$16,IF(B52=7,$D$17,IF(B52=8,$D$18,))))))))</calculatedColumnFormula>
    </tableColumn>
    <tableColumn id="8" xr3:uid="{FA21A228-57C1-4EC3-B50D-6A8D5F35EB4E}" name="Volume Increase in 1 day (cm3)" dataDxfId="1229">
      <calculatedColumnFormula>IF(F52&gt;0,(((0.5*(4/3*(PI()*(((0.5*C52)+G52))*(((0.5*D52)+G52))*(E52+G52))))/1000-F52)), 0)</calculatedColumnFormula>
    </tableColumn>
    <tableColumn id="9" xr3:uid="{F52BC8C9-8A7F-4066-9E28-142A5D819477}" name="CaCO3 per cm3" dataDxfId="1228">
      <calculatedColumnFormula>IF(B52=1,$G$11,IF(B52=2,$G$12,IF(B52=3,$G$13,IF(B52=4,$G$14,IF(B52=5,$G$15,IF(B52=6,$G$16,IF(B52=7,$G$17,IF(B52=8,$G$18,""))))))))</calculatedColumnFormula>
    </tableColumn>
    <tableColumn id="10" xr3:uid="{2ECCA2BA-2127-45CA-99D2-6069EB930CFA}" name="CaCO3 prod (g) /thallus/yr" dataDxfId="1227">
      <calculatedColumnFormula>IFERROR((H52*I52)*365, "")</calculatedColumnFormula>
    </tableColumn>
    <tableColumn id="11" xr3:uid="{35ABA526-44AA-4748-B3E1-3D86ABF827F2}" name="g CaCO3/m2/yr" dataDxfId="1226">
      <calculatedColumnFormula>IFERROR(J52*(1/$B$6), "")</calculatedColumnFormula>
    </tableColumn>
    <tableColumn id="12" xr3:uid="{AB6DD00D-1C9D-4CA8-BF8C-ECDCB50AC0DC}" name="kg CaCO3/m2/yr" dataDxfId="1225">
      <calculatedColumnFormula>IFERROR(K52/1000, "")</calculatedColumnFormula>
    </tableColumn>
    <tableColumn id="13" xr3:uid="{6E66DF95-42DB-48D9-BF2A-4540F52FC6CA}" name="0.000" dataDxfId="1224"/>
    <tableColumn id="14" xr3:uid="{70BBD7EE-7DFC-40E8-81E9-EAFC589D51E2}" name="Species 1" dataDxfId="1223">
      <calculatedColumnFormula>IF(B52=1, L52,"")</calculatedColumnFormula>
    </tableColumn>
    <tableColumn id="15" xr3:uid="{E5069422-D73F-4298-9428-08D352EF4433}" name="Species 2" dataDxfId="1222">
      <calculatedColumnFormula>IF(B52=2, L52,"")</calculatedColumnFormula>
    </tableColumn>
    <tableColumn id="16" xr3:uid="{E6D3E307-8CF4-47CC-835D-F3B2DE128ED2}" name="Species 3" dataDxfId="1221">
      <calculatedColumnFormula>IF(B52=3, L52,"")</calculatedColumnFormula>
    </tableColumn>
    <tableColumn id="17" xr3:uid="{16D496A6-255F-40E6-B2B7-919B19A56376}" name="Species 4" dataDxfId="1220">
      <calculatedColumnFormula>IF(B52=4, L52,"")</calculatedColumnFormula>
    </tableColumn>
    <tableColumn id="18" xr3:uid="{57B1979C-7C5F-4B10-952E-B0FE3D9AECD9}" name="Species 5" dataDxfId="1219">
      <calculatedColumnFormula>IF(B52=5, L52,"")</calculatedColumnFormula>
    </tableColumn>
    <tableColumn id="19" xr3:uid="{04173C5D-2E85-4194-B8F2-A4CAA0C1C223}" name="Species 6" dataDxfId="1218">
      <calculatedColumnFormula>IF(B52=6, L52,"")</calculatedColumnFormula>
    </tableColumn>
    <tableColumn id="20" xr3:uid="{AF86A20E-5B24-412F-B488-16810378063C}" name="Species 7" dataDxfId="1217">
      <calculatedColumnFormula>IF(B52=7, L52,"")</calculatedColumnFormula>
    </tableColumn>
    <tableColumn id="21" xr3:uid="{63B0A7ED-57EF-4DFA-B28A-7CA51B9B618E}" name="Species 8" dataDxfId="1216">
      <calculatedColumnFormula>IF(B52=8, L52,"")</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DB851CA0-84CF-4DB5-BC4D-E0B4123A4041}" name="TableA3" displayName="TableA3" ref="A68:U78" totalsRowShown="0" headerRowDxfId="1215" dataDxfId="1214" tableBorderDxfId="1213">
  <tableColumns count="21">
    <tableColumn id="1" xr3:uid="{9A8C2C63-7776-448A-9C6C-276BD4BA4648}" name="Quadrat #" dataDxfId="1212">
      <calculatedColumnFormula>3</calculatedColumnFormula>
    </tableColumn>
    <tableColumn id="2" xr3:uid="{14B7E650-44CE-4ADB-91B2-ADF043BBD7E8}" name="Species / morphology code (select from above)" dataDxfId="1211"/>
    <tableColumn id="3" xr3:uid="{22647B18-3887-47AD-9386-37DEF7E5262F}" name=" width  (mm)" dataDxfId="1210"/>
    <tableColumn id="4" xr3:uid="{2E94837A-3EB2-4B1D-AD2E-A86090ACD236}" name="depth (mm)" dataDxfId="1209"/>
    <tableColumn id="5" xr3:uid="{2CAB752F-CA1B-44CE-88E8-7422C07E080D}" name="height h (mm)" dataDxfId="1208"/>
    <tableColumn id="6" xr3:uid="{3CB22FFD-0D71-4C61-AE2A-ED3DA7381491}" name="Total thallus volume (cm3)" dataDxfId="1207">
      <calculatedColumnFormula>(0.5*(4/3*(PI()*((C69*0.5)*(D69*0.5)*E69)))/1000)</calculatedColumnFormula>
    </tableColumn>
    <tableColumn id="7" xr3:uid="{601B50E3-75CB-4F94-B83C-6DD55ECDDC4F}" name="Growth rate (mm/day)" dataDxfId="1206">
      <calculatedColumnFormula>IF(B69=1,$D$11,IF(B69=2,$D$12,IF(B69=3,$D$13,IF(B69=4,$D$14,IF(B69=5,$D$15,IF(B69=6,$D$16,IF(B69=7,$D$17,IF(B69=8,$D$18,))))))))</calculatedColumnFormula>
    </tableColumn>
    <tableColumn id="8" xr3:uid="{1FCAB5F8-EF41-4837-9A26-E5FE44010146}" name="Volume Increase in 1 day (cm3)" dataDxfId="1205">
      <calculatedColumnFormula>IF(F69&gt;0,(((0.5*(4/3*(PI()*(((0.5*C69)+G69))*(((0.5*D69)+G69))*(E69+G69))))/1000-F69)), 0)</calculatedColumnFormula>
    </tableColumn>
    <tableColumn id="9" xr3:uid="{C8D86784-335A-4E70-A0A9-8E4678735D91}" name="CaCO3 per cm3" dataDxfId="1204">
      <calculatedColumnFormula>IF(B69=1,$G$11,IF(B69=2,$G$12,IF(B69=3,$G$13,IF(B69=4,$G$14,IF(B69=5,$G$15,IF(B69=6,$G$16,IF(B69=7,$G$17,IF(B69=8,$G$18,""))))))))</calculatedColumnFormula>
    </tableColumn>
    <tableColumn id="10" xr3:uid="{159019A8-7559-469F-B647-82D7D0614AEB}" name="CaCO3 prod (g) /thallus/yr" dataDxfId="1203">
      <calculatedColumnFormula>IFERROR((H69*I69)*365, "")</calculatedColumnFormula>
    </tableColumn>
    <tableColumn id="11" xr3:uid="{31B200DA-2795-4997-9CD6-0E147CA7BC6A}" name="g CaCO3/m2/yr" dataDxfId="1202">
      <calculatedColumnFormula>IFERROR(J69*(1/$B$6), "")</calculatedColumnFormula>
    </tableColumn>
    <tableColumn id="12" xr3:uid="{98890ED9-4A61-455F-B090-EB3AB85AD91D}" name="kg CaCO3/m2/yr" dataDxfId="1201">
      <calculatedColumnFormula>IFERROR(K69/1000, "")</calculatedColumnFormula>
    </tableColumn>
    <tableColumn id="13" xr3:uid="{26C044A1-77CB-4819-9920-6F405C6342C8}" name="." dataDxfId="1200"/>
    <tableColumn id="14" xr3:uid="{4257EEFA-4B27-4F80-9FE1-4763657B8419}" name="Species 1" dataDxfId="1199">
      <calculatedColumnFormula>IF(B69=1, L69,"")</calculatedColumnFormula>
    </tableColumn>
    <tableColumn id="15" xr3:uid="{5435E7B5-C67C-4762-A05E-F583B92DA0D2}" name="Species 2" dataDxfId="1198">
      <calculatedColumnFormula>IF(B69=2, L69,"")</calculatedColumnFormula>
    </tableColumn>
    <tableColumn id="16" xr3:uid="{1C3CACE6-0450-4097-97C7-F01275D93472}" name="Species 3" dataDxfId="1197">
      <calculatedColumnFormula>IF(B69=3, L69,"")</calculatedColumnFormula>
    </tableColumn>
    <tableColumn id="17" xr3:uid="{9C8D786B-80C4-46F6-92D1-141AB0764E27}" name="Species 4" dataDxfId="1196">
      <calculatedColumnFormula>IF(B69=4, L69,"")</calculatedColumnFormula>
    </tableColumn>
    <tableColumn id="18" xr3:uid="{D6B5CE92-4B94-4061-83CB-0FDB9A80F728}" name="Species 5" dataDxfId="1195">
      <calculatedColumnFormula>IF(B69=5, L69,"")</calculatedColumnFormula>
    </tableColumn>
    <tableColumn id="19" xr3:uid="{C9C51D29-4BA8-4856-8DB1-6929A1E401A0}" name="Species 6" dataDxfId="1194">
      <calculatedColumnFormula>IF(B69=6, L69,"")</calculatedColumnFormula>
    </tableColumn>
    <tableColumn id="20" xr3:uid="{C2B82587-A7C0-4817-BEA2-2FC759A98B9C}" name="Species 7" dataDxfId="1193">
      <calculatedColumnFormula>IF(B69=7, L69,"")</calculatedColumnFormula>
    </tableColumn>
    <tableColumn id="21" xr3:uid="{628D70CB-9DF5-4BCD-8D61-E718E8CFA4E7}" name="Species 8" dataDxfId="1192">
      <calculatedColumnFormula>IF(B69=8, L69,"")</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315DC41-D77B-4789-915D-0FF16B187F1E}" name="TableA1" displayName="TableA1" ref="A34:U44" totalsRowShown="0" headerRowDxfId="1191" dataDxfId="1190" tableBorderDxfId="1189">
  <tableColumns count="21">
    <tableColumn id="1" xr3:uid="{1D404FE8-4EFB-4701-AAAE-6C1BDB993918}" name="Quadrat #" dataDxfId="1188">
      <calculatedColumnFormula>1</calculatedColumnFormula>
    </tableColumn>
    <tableColumn id="2" xr3:uid="{D42FCAF4-19ED-4787-87B0-55209A4D3957}" name="Species / morphology code (select from above)" dataDxfId="1187"/>
    <tableColumn id="3" xr3:uid="{C36E29CB-79B9-41B3-901E-828AE349C1D3}" name=" width  (mm)" dataDxfId="1186"/>
    <tableColumn id="4" xr3:uid="{2DD353BD-9DB3-492D-BB65-B941130694DC}" name="depth (mm)" dataDxfId="1185"/>
    <tableColumn id="5" xr3:uid="{3FDDE585-B65F-4C13-9ACF-0316A15D5A42}" name="height h (mm)" dataDxfId="1184"/>
    <tableColumn id="6" xr3:uid="{79A63ED0-9656-4790-9998-066D53466C2A}" name="Total thallus volume (cm3)" dataDxfId="1183">
      <calculatedColumnFormula>(0.5*(4/3*(PI()*((C35*0.5)*(D35*0.5)*E35)))/1000)</calculatedColumnFormula>
    </tableColumn>
    <tableColumn id="7" xr3:uid="{D7320E77-DB80-4DF2-82A9-B339398E3D87}" name="Growth rate (mm/day)" dataDxfId="1182">
      <calculatedColumnFormula>IF(B35=1,$D$11,IF(B35=2,$D$12,IF(B35=3,$D$13,IF(B35=4,$D$14,IF(B35=5,$D$15,IF(B35=6,$D$16,IF(B35=7,$D$17,IF(B35=8,$D$18,))))))))</calculatedColumnFormula>
    </tableColumn>
    <tableColumn id="8" xr3:uid="{813EF530-FF75-4C7F-8981-430155A58A7E}" name="Volume Increase in 1 day (cm3)" dataDxfId="1181">
      <calculatedColumnFormula>IF(F35&gt;0,(((0.5*(4/3*(PI()*(((0.5*C35)+G35))*(((0.5*D35)+G35))*(E35+G35))))/1000-F35)), 0)</calculatedColumnFormula>
    </tableColumn>
    <tableColumn id="9" xr3:uid="{BA1714DF-8E6B-4066-B5EE-C7B8E3CB9D01}" name="CaCO3 per cm3" dataDxfId="1180">
      <calculatedColumnFormula>IF(B35=1,$G$11,IF(B35=2,$G$12,IF(B35=3,$G$13,IF(B35=4,$G$14,IF(B35=5,$G$15,IF(B35=6,$G$16,IF(B35=7,$G$17,IF(B35=8,$G$18,""))))))))</calculatedColumnFormula>
    </tableColumn>
    <tableColumn id="10" xr3:uid="{6B631B37-2556-40C4-AA1E-9889F17AF667}" name="CaCO3 prod (g) /thallus/yr" dataDxfId="1179">
      <calculatedColumnFormula>IFERROR((H35*I35)*365, "")</calculatedColumnFormula>
    </tableColumn>
    <tableColumn id="11" xr3:uid="{66736AE0-5D65-4155-B055-A3ACCCF55F94}" name="g CaCO3/m2/yr" dataDxfId="1178">
      <calculatedColumnFormula>IFERROR(J35*(1/$B$6), "")</calculatedColumnFormula>
    </tableColumn>
    <tableColumn id="12" xr3:uid="{8046F704-51AF-4573-A375-EF0456B7DA59}" name="kg CaCO3/m2/yr" dataDxfId="1177">
      <calculatedColumnFormula>IFERROR(K35/1000, "")</calculatedColumnFormula>
    </tableColumn>
    <tableColumn id="13" xr3:uid="{D8510BA5-940D-4EB8-85D4-07772212055E}" name="." dataDxfId="1176"/>
    <tableColumn id="14" xr3:uid="{99215591-2D17-4E23-8EA4-4FEC390754E3}" name="Species 1" dataDxfId="1175">
      <calculatedColumnFormula>IF(B35=1, L35,"")</calculatedColumnFormula>
    </tableColumn>
    <tableColumn id="15" xr3:uid="{5E7484D9-9D03-4633-83EE-D1F1AFA6A477}" name="Species 2" dataDxfId="1174">
      <calculatedColumnFormula>IF(B35=2, L35,"")</calculatedColumnFormula>
    </tableColumn>
    <tableColumn id="16" xr3:uid="{DFFE602D-8C7D-4214-8760-34A716E19E2F}" name="Species 3" dataDxfId="1173">
      <calculatedColumnFormula>IF(B35=3, L35,"")</calculatedColumnFormula>
    </tableColumn>
    <tableColumn id="17" xr3:uid="{BE797DDB-7521-4D65-8469-B274F66147FD}" name="Species 4" dataDxfId="1172">
      <calculatedColumnFormula>IF(B35=4, L35,"")</calculatedColumnFormula>
    </tableColumn>
    <tableColumn id="18" xr3:uid="{128924D4-4AA3-41A9-84B6-CA54D584FB9E}" name="Species 5" dataDxfId="1171">
      <calculatedColumnFormula>IF(B35=5, L35,"")</calculatedColumnFormula>
    </tableColumn>
    <tableColumn id="19" xr3:uid="{8562E1AE-B0F0-4DC1-BA3E-9A41EB35561A}" name="Species 6" dataDxfId="1170">
      <calculatedColumnFormula>IF(B35=6, L35,"")</calculatedColumnFormula>
    </tableColumn>
    <tableColumn id="20" xr3:uid="{2787CF2B-FC51-4201-B16F-37923D66172C}" name="Species 7" dataDxfId="1169">
      <calculatedColumnFormula>IF(B35=7, L35,"")</calculatedColumnFormula>
    </tableColumn>
    <tableColumn id="21" xr3:uid="{2C463444-85CC-48EC-AF10-6B0A3CB0E06D}" name="Species 8" dataDxfId="1168">
      <calculatedColumnFormula>IF(B35=8, L35,"")</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F654EA1C-140B-4191-9335-1C74B0BE0A5C}" name="TableA4" displayName="TableA4" ref="A85:U95" totalsRowShown="0" headerRowDxfId="1167" dataDxfId="1166" tableBorderDxfId="1165">
  <tableColumns count="21">
    <tableColumn id="1" xr3:uid="{1A95CED8-3958-4D1E-9BA2-56577C472D54}" name="Quadrat #" dataDxfId="1164">
      <calculatedColumnFormula>4</calculatedColumnFormula>
    </tableColumn>
    <tableColumn id="2" xr3:uid="{1CF07ECB-0CF7-4188-B4C0-4A72E76125DF}" name="Species / morphology code (select from above)" dataDxfId="1163"/>
    <tableColumn id="3" xr3:uid="{0FD8A3AD-15E6-4CFE-90C7-BE1037882640}" name=" width  (mm)" dataDxfId="1162"/>
    <tableColumn id="4" xr3:uid="{A5869DA8-45A9-4A02-89AD-CB4AF548AF3F}" name="depth (mm)" dataDxfId="1161"/>
    <tableColumn id="5" xr3:uid="{C22AA5B7-A460-4791-83F6-4E02D39A0660}" name="height h (mm)" dataDxfId="1160"/>
    <tableColumn id="6" xr3:uid="{FF4D1DA5-0905-4950-BBB7-38FA24A8C9B7}" name="Total thallus volume (cm3)" dataDxfId="1159">
      <calculatedColumnFormula>(0.5*(4/3*(PI()*((C86*0.5)*(D86*0.5)*E86)))/1000)</calculatedColumnFormula>
    </tableColumn>
    <tableColumn id="7" xr3:uid="{C079EDEB-B2DB-4604-AAF3-175EACD17111}" name="Growth rate (mm/day)" dataDxfId="1158">
      <calculatedColumnFormula>IF(B86=1,$D$11,IF(B86=2,$D$12,IF(B86=3,$D$13,IF(B86=4,$D$14,IF(B86=5,$D$15,IF(B86=6,$D$16,IF(B86=7,$D$17,IF(B86=8,$D$18,))))))))</calculatedColumnFormula>
    </tableColumn>
    <tableColumn id="8" xr3:uid="{D3C22E4D-375E-43AD-9D1F-58E996762AEA}" name="Volume Increase in 1 day (cm3)" dataDxfId="1157">
      <calculatedColumnFormula>IF(F86&gt;0,(((0.5*(4/3*(PI()*(((0.5*C86)+G86))*(((0.5*D86)+G86))*(E86+G86))))/1000-F86)), 0)</calculatedColumnFormula>
    </tableColumn>
    <tableColumn id="9" xr3:uid="{F7FA48CE-8F1F-4621-83C2-AA719A245D57}" name="CaCO3 per cm3" dataDxfId="1156">
      <calculatedColumnFormula>IF(B86=1,$G$11,IF(B86=2,$G$12,IF(B86=3,$G$13,IF(B86=4,$G$14,IF(B86=5,$G$15,IF(B86=6,$G$16,IF(B86=7,$G$17,IF(B86=8,$G$18,""))))))))</calculatedColumnFormula>
    </tableColumn>
    <tableColumn id="10" xr3:uid="{21999A24-E9F3-4DC2-A413-468DF2EE1DCB}" name="CaCO3 prod (g) /thallus/yr" dataDxfId="1155">
      <calculatedColumnFormula>IFERROR((H86*I86)*365, "")</calculatedColumnFormula>
    </tableColumn>
    <tableColumn id="11" xr3:uid="{BF60D0D7-69EE-4A03-A76E-9AD1DBACF211}" name="g CaCO3/m2/yr" dataDxfId="1154">
      <calculatedColumnFormula>IFERROR(J86*(1/$B$6), "")</calculatedColumnFormula>
    </tableColumn>
    <tableColumn id="12" xr3:uid="{D338F718-E865-4AE5-A8F6-9E1CDE3FAFFD}" name="kg CaCO3/m2/yr" dataDxfId="1153">
      <calculatedColumnFormula>IFERROR(K86/1000, "")</calculatedColumnFormula>
    </tableColumn>
    <tableColumn id="13" xr3:uid="{C5D36FB4-8670-4A0C-BDC0-DC8281F033D4}" name="." dataDxfId="1152"/>
    <tableColumn id="14" xr3:uid="{957C8236-FDF7-454F-8805-16664E6E456C}" name="Species 1" dataDxfId="1151">
      <calculatedColumnFormula>IF(B86=1, L86,"")</calculatedColumnFormula>
    </tableColumn>
    <tableColumn id="15" xr3:uid="{9E63871F-6B41-49B0-B65E-FA5847432C74}" name="Species 2" dataDxfId="1150">
      <calculatedColumnFormula>IF(B86=2, L86,"")</calculatedColumnFormula>
    </tableColumn>
    <tableColumn id="16" xr3:uid="{2E46EDCA-E901-4845-91C2-A344428A5666}" name="Species 3" dataDxfId="1149">
      <calculatedColumnFormula>IF(B86=3, L86,"")</calculatedColumnFormula>
    </tableColumn>
    <tableColumn id="17" xr3:uid="{2E1909D2-A1C0-49E4-B9A4-DCF128FA1BC8}" name="Species 4" dataDxfId="1148">
      <calculatedColumnFormula>IF(B86=4, L86,"")</calculatedColumnFormula>
    </tableColumn>
    <tableColumn id="18" xr3:uid="{941A7DBD-8475-4276-847E-B619FF6374A5}" name="Species 5" dataDxfId="1147">
      <calculatedColumnFormula>IF(B86=5, L86,"")</calculatedColumnFormula>
    </tableColumn>
    <tableColumn id="19" xr3:uid="{104E0418-B669-43A2-9F97-52364ABC5CEE}" name="Species 6" dataDxfId="1146">
      <calculatedColumnFormula>IF(B86=6, L86,"")</calculatedColumnFormula>
    </tableColumn>
    <tableColumn id="20" xr3:uid="{4FDB8984-8FF7-47BE-AFD5-B120A055E91D}" name="Species 7" dataDxfId="1145">
      <calculatedColumnFormula>IF(B86=7, L86,"")</calculatedColumnFormula>
    </tableColumn>
    <tableColumn id="21" xr3:uid="{C595D40A-D1B8-4FA9-A9A5-1C96823A5535}" name="Species 8" dataDxfId="1144">
      <calculatedColumnFormula>IF(B86=8, L86,"")</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4D277A2C-7851-411A-A577-375E4D6ED344}" name="TableA5" displayName="TableA5" ref="A103:U113" totalsRowShown="0" headerRowDxfId="1143" dataDxfId="1142" tableBorderDxfId="1141">
  <tableColumns count="21">
    <tableColumn id="1" xr3:uid="{C6AF99E5-9273-47EA-A4CC-412A2F505924}" name="Quadrat #" dataDxfId="1140">
      <calculatedColumnFormula>5</calculatedColumnFormula>
    </tableColumn>
    <tableColumn id="2" xr3:uid="{41AC11F2-5C32-4EE1-BF4A-BD000998CD60}" name="Species / morphology code (select from above)" dataDxfId="1139"/>
    <tableColumn id="3" xr3:uid="{A311524B-9101-4F80-9448-726000CA3D3A}" name=" width  (mm)" dataDxfId="1138"/>
    <tableColumn id="4" xr3:uid="{111D6414-8E17-4751-80EB-0E5133AA1F50}" name="depth (mm)" dataDxfId="1137"/>
    <tableColumn id="5" xr3:uid="{35C71FA2-EC36-4CEB-A680-870AEC10A979}" name="height h (mm)" dataDxfId="1136"/>
    <tableColumn id="6" xr3:uid="{DF301D79-6EC5-43C6-A3F3-AE92444569DC}" name="Total thallus volume (cm3)" dataDxfId="1135">
      <calculatedColumnFormula>(0.5*(4/3*(PI()*((C104*0.5)*(D104*0.5)*E104)))/1000)</calculatedColumnFormula>
    </tableColumn>
    <tableColumn id="7" xr3:uid="{E2A66AC4-6DB5-4A0C-9E70-1217CB6BB828}" name="Growth rate (mm/day)" dataDxfId="1134">
      <calculatedColumnFormula>IF(B104=1,$D$11,IF(B104=2,$D$12,IF(B104=3,$D$13,IF(B104=4,$D$14,IF(B104=5,$D$15,IF(B104=6,$D$16,IF(B104=7,$D$17,IF(B104=8,$D$18,))))))))</calculatedColumnFormula>
    </tableColumn>
    <tableColumn id="8" xr3:uid="{A11984BD-A4BF-4417-88B1-7D0FDF723CA7}" name="Volume Increase in 1 day (cm3)" dataDxfId="1133">
      <calculatedColumnFormula>IF(F104&gt;0,(((0.5*(4/3*(PI()*(((0.5*C104)+G104))*(((0.5*D104)+G104))*(E104+G104))))/1000-F104)), 0)</calculatedColumnFormula>
    </tableColumn>
    <tableColumn id="9" xr3:uid="{26540057-5BF0-46B9-8C05-1D5D828F7C16}" name="CaCO3 per cm3" dataDxfId="1132">
      <calculatedColumnFormula>IF(B104=1,$G$11,IF(B104=2,$G$12,IF(B104=3,$G$13,IF(B104=4,$G$14,IF(B104=5,$G$15,IF(B104=6,$G$16,IF(B104=7,$G$17,IF(B104=8,$G$18,""))))))))</calculatedColumnFormula>
    </tableColumn>
    <tableColumn id="10" xr3:uid="{B01A8F39-A15A-472E-B5E5-4AD0BD4767F5}" name="CaCO3 prod (g) /thallus/yr" dataDxfId="1131">
      <calculatedColumnFormula>IFERROR((H104*I104)*365, "")</calculatedColumnFormula>
    </tableColumn>
    <tableColumn id="11" xr3:uid="{B300EA34-AA23-41B6-9A35-923B59D14676}" name="g CaCO3/m2/yr" dataDxfId="1130">
      <calculatedColumnFormula>IFERROR(J104*(1/$B$6), "")</calculatedColumnFormula>
    </tableColumn>
    <tableColumn id="12" xr3:uid="{55654349-BA68-4118-94D2-37212765B55C}" name="kg CaCO3/m2/yr" dataDxfId="1129">
      <calculatedColumnFormula>IFERROR(K104/1000, "")</calculatedColumnFormula>
    </tableColumn>
    <tableColumn id="13" xr3:uid="{71AB1E1C-93B1-49A1-9743-16887E7BEA1D}" name="." dataDxfId="1128"/>
    <tableColumn id="14" xr3:uid="{94D63147-62E0-4502-99EC-47DCE7518BB0}" name="Species 1" dataDxfId="1127">
      <calculatedColumnFormula>IF(B104=1, L104,"")</calculatedColumnFormula>
    </tableColumn>
    <tableColumn id="15" xr3:uid="{045F8717-6480-4FB4-9F4F-9554FD2CC087}" name="Species 2" dataDxfId="1126">
      <calculatedColumnFormula>IF(B104=2, L104,"")</calculatedColumnFormula>
    </tableColumn>
    <tableColumn id="16" xr3:uid="{D58F394C-24D4-472C-8314-1802630E986C}" name="Species 3" dataDxfId="1125">
      <calculatedColumnFormula>IF(B104=3, L104,"")</calculatedColumnFormula>
    </tableColumn>
    <tableColumn id="17" xr3:uid="{234BEBA8-B170-4E79-8ACC-7D243F9196FA}" name="Species 4" dataDxfId="1124">
      <calculatedColumnFormula>IF(B104=4, L104,"")</calculatedColumnFormula>
    </tableColumn>
    <tableColumn id="18" xr3:uid="{904D85E9-6A78-450C-8B3F-78E2F34CEF4A}" name="Species 5" dataDxfId="1123">
      <calculatedColumnFormula>IF(B104=5, L104,"")</calculatedColumnFormula>
    </tableColumn>
    <tableColumn id="19" xr3:uid="{6CAB475F-AC93-4D47-ADCA-682472E071A5}" name="Species 6" dataDxfId="1122">
      <calculatedColumnFormula>IF(B104=6, L104,"")</calculatedColumnFormula>
    </tableColumn>
    <tableColumn id="20" xr3:uid="{3A944C24-3269-49FE-932B-6DC6814C0BBD}" name="Species 7" dataDxfId="1121">
      <calculatedColumnFormula>IF(B104=7, L104,"")</calculatedColumnFormula>
    </tableColumn>
    <tableColumn id="21" xr3:uid="{3015EC7C-E20D-47A6-B451-A5103DA0269F}" name="Species 8" dataDxfId="1120">
      <calculatedColumnFormula>IF(B104=8, L104,"")</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BD7AF4C-EA88-4946-ABDA-1464B7F0B600}" name="TableA6" displayName="TableA6" ref="A121:U131" totalsRowShown="0" headerRowDxfId="1119" dataDxfId="1118" tableBorderDxfId="1117">
  <tableColumns count="21">
    <tableColumn id="1" xr3:uid="{CB7E5087-D346-4FB0-909E-6705EC318FA7}" name="Quadrat #" dataDxfId="1116">
      <calculatedColumnFormula>6</calculatedColumnFormula>
    </tableColumn>
    <tableColumn id="2" xr3:uid="{DD405A97-80C8-420C-845D-CC359D9A8CFE}" name="Species / morphology code (select from above)" dataDxfId="1115"/>
    <tableColumn id="3" xr3:uid="{1BD2AF85-CF60-4CB8-9B46-9CFE18900D35}" name=" width  (mm)" dataDxfId="1114"/>
    <tableColumn id="4" xr3:uid="{32C9F853-8A04-4604-A86C-F7368FB21964}" name="depth (mm)" dataDxfId="1113"/>
    <tableColumn id="5" xr3:uid="{8616770F-4888-4E21-BBA4-16E0C858F002}" name="height h (mm)" dataDxfId="1112"/>
    <tableColumn id="6" xr3:uid="{23F2EC76-A8C8-404E-A5FF-C7F7730ECD22}" name="Total thallus volume (cm3)" dataDxfId="1111">
      <calculatedColumnFormula>(0.5*(4/3*(PI()*((C122*0.5)*(D122*0.5)*E122)))/1000)</calculatedColumnFormula>
    </tableColumn>
    <tableColumn id="7" xr3:uid="{55FD2FFE-2488-4268-BF38-020610414713}" name="Growth rate (mm/day)" dataDxfId="1110">
      <calculatedColumnFormula>IF(B122=1,$D$11,IF(B122=2,$D$12,IF(B122=3,$D$13,IF(B122=4,$D$14,IF(B122=5,$D$15,IF(B122=6,$D$16,IF(B122=7,$D$17,IF(B122=8,$D$18,))))))))</calculatedColumnFormula>
    </tableColumn>
    <tableColumn id="8" xr3:uid="{DAB33FC2-8656-4375-8A23-E6AC3FB85639}" name="Volume Increase in 1 day (cm3)" dataDxfId="1109">
      <calculatedColumnFormula>IF(F122&gt;0,(((0.5*(4/3*(PI()*(((0.5*C122)+G122))*(((0.5*D122)+G122))*(E122+G122))))/1000-F122)), 0)</calculatedColumnFormula>
    </tableColumn>
    <tableColumn id="9" xr3:uid="{635BDAE2-3E4D-4F7D-8996-444F800DEBD9}" name="CaCO3 per cm3" dataDxfId="1108">
      <calculatedColumnFormula>IF(B122=1,$G$11,IF(B122=2,$G$12,IF(B122=3,$G$13,IF(B122=4,$G$14,IF(B122=5,$G$15,IF(B122=6,$G$16,IF(B122=7,$G$17,IF(B122=8,$G$18,""))))))))</calculatedColumnFormula>
    </tableColumn>
    <tableColumn id="10" xr3:uid="{39D05793-0D23-4E79-A115-A34CE26E2FD6}" name="CaCO3 prod (g) /thallus/yr" dataDxfId="1107">
      <calculatedColumnFormula>IFERROR((H122*I122)*365, "")</calculatedColumnFormula>
    </tableColumn>
    <tableColumn id="11" xr3:uid="{7F18D46C-2A88-4CBF-8635-56A3D0461436}" name="g CaCO3/m2/yr" dataDxfId="1106">
      <calculatedColumnFormula>IFERROR(J122*(1/$B$6), "")</calculatedColumnFormula>
    </tableColumn>
    <tableColumn id="12" xr3:uid="{A96FE7E0-68BB-45C6-A3CE-3994BEFC07C5}" name="kg CaCO3/m2/yr" dataDxfId="1105">
      <calculatedColumnFormula>IFERROR(K122/1000, "")</calculatedColumnFormula>
    </tableColumn>
    <tableColumn id="13" xr3:uid="{C338B2A4-4E9E-444D-97BC-19BD7A7FA8A6}" name="." dataDxfId="1104"/>
    <tableColumn id="14" xr3:uid="{6221E6FA-2E0C-46EE-A500-ABC8844635C8}" name="Species 1" dataDxfId="1103">
      <calculatedColumnFormula>IF(B122=1, L122,"")</calculatedColumnFormula>
    </tableColumn>
    <tableColumn id="15" xr3:uid="{DD7231CE-817F-41B4-B5B9-75420236531D}" name="Species 2" dataDxfId="1102">
      <calculatedColumnFormula>IF(B122=2, L122,"")</calculatedColumnFormula>
    </tableColumn>
    <tableColumn id="16" xr3:uid="{6616CC95-5F05-41C9-94E3-C735734A7A53}" name="Species 3" dataDxfId="1101">
      <calculatedColumnFormula>IF(B122=3, L122,"")</calculatedColumnFormula>
    </tableColumn>
    <tableColumn id="17" xr3:uid="{DE0F511B-90EA-4178-A98F-B826F4D22C43}" name="Species 4" dataDxfId="1100">
      <calculatedColumnFormula>IF(B122=4, L122,"")</calculatedColumnFormula>
    </tableColumn>
    <tableColumn id="18" xr3:uid="{8667FBB0-D277-4ABF-BCDC-ADBC1D7FAE0F}" name="Species 5" dataDxfId="1099">
      <calculatedColumnFormula>IF(B122=5, L122,"")</calculatedColumnFormula>
    </tableColumn>
    <tableColumn id="19" xr3:uid="{59780801-0731-4F45-A936-E5C17F15076C}" name="Species 6" dataDxfId="1098">
      <calculatedColumnFormula>IF(B122=6, L122,"")</calculatedColumnFormula>
    </tableColumn>
    <tableColumn id="20" xr3:uid="{7FFA4C55-F247-43A2-832E-0EEEC8058A42}" name="Species 7" dataDxfId="1097">
      <calculatedColumnFormula>IF(B122=7, L122,"")</calculatedColumnFormula>
    </tableColumn>
    <tableColumn id="21" xr3:uid="{24DDCDD1-A069-4718-9D4E-2B180BA2D19D}" name="Species 8" dataDxfId="1096">
      <calculatedColumnFormula>IF(B122=8, L122,"")</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66520A9-BF0D-462C-BBB1-11790B8F7586}" name="TableA7" displayName="TableA7" ref="A139:U149" totalsRowShown="0" headerRowDxfId="1095" dataDxfId="1094" tableBorderDxfId="1093">
  <tableColumns count="21">
    <tableColumn id="1" xr3:uid="{8B5BB7CD-2A8E-4FDE-B835-2CD56E9EB29D}" name="Quadrat #" dataDxfId="1092">
      <calculatedColumnFormula>7</calculatedColumnFormula>
    </tableColumn>
    <tableColumn id="2" xr3:uid="{B18777F1-10F2-4CE9-A5BF-87500268B6C0}" name="Species / morphology code (select from above)" dataDxfId="1091"/>
    <tableColumn id="3" xr3:uid="{954A0FEF-F462-4CD5-A423-F0E4B18E7560}" name=" width  (mm)" dataDxfId="1090"/>
    <tableColumn id="4" xr3:uid="{39C09034-CE3C-4FB1-98DC-010CED6FD3AF}" name="depth (mm)" dataDxfId="1089"/>
    <tableColumn id="5" xr3:uid="{022E733C-8CB1-4344-A168-12FF8466D249}" name="height h (mm)" dataDxfId="1088"/>
    <tableColumn id="6" xr3:uid="{2D23A3E4-4F3A-4BE0-8C3B-B32EDC122811}" name="Total thallus volume (cm3)" dataDxfId="1087">
      <calculatedColumnFormula>(0.5*(4/3*(PI()*((C140*0.5)*(D140*0.5)*E140)))/1000)</calculatedColumnFormula>
    </tableColumn>
    <tableColumn id="7" xr3:uid="{FF3C6182-BB23-4A60-AC88-FE43EA1ED7C3}" name="Growth rate (mm/day)" dataDxfId="1086">
      <calculatedColumnFormula>IF(B140=1,$D$11,IF(B140=2,$D$12,IF(B140=3,$D$13,IF(B140=4,$D$14,IF(B140=5,$D$15,IF(B140=6,$D$16,IF(B140=7,$D$17,IF(B140=8,$D$18,))))))))</calculatedColumnFormula>
    </tableColumn>
    <tableColumn id="8" xr3:uid="{9EE5F61B-2A24-48B4-8291-8694FCC8541B}" name="Volume Increase in 1 day (cm3)" dataDxfId="1085">
      <calculatedColumnFormula>IF(F140&gt;0,(((0.5*(4/3*(PI()*(((0.5*C140)+G140))*(((0.5*D140)+G140))*(E140+G140))))/1000-F140)), 0)</calculatedColumnFormula>
    </tableColumn>
    <tableColumn id="9" xr3:uid="{D179F22F-C119-4D16-8F1B-B4AB1F3948B7}" name="CaCO3 per cm3" dataDxfId="1084">
      <calculatedColumnFormula>IF(B140=1,$G$11,IF(B140=2,$G$12,IF(B140=3,$G$13,IF(B140=4,$G$14,IF(B140=5,$G$15,IF(B140=6,$G$16,IF(B140=7,$G$17,IF(B140=8,$G$18,""))))))))</calculatedColumnFormula>
    </tableColumn>
    <tableColumn id="10" xr3:uid="{5116BA53-FFB3-4D90-B71E-C383B450E664}" name="CaCO3 prod (g) /thallus/yr" dataDxfId="1083">
      <calculatedColumnFormula>IFERROR((H140*I140)*365, "")</calculatedColumnFormula>
    </tableColumn>
    <tableColumn id="11" xr3:uid="{A80FC905-F522-4642-A859-9AAF6197CA44}" name="g CaCO3/m2/yr" dataDxfId="1082">
      <calculatedColumnFormula>IFERROR(J140*(1/$B$6), "")</calculatedColumnFormula>
    </tableColumn>
    <tableColumn id="12" xr3:uid="{F0D0ECC3-EF18-4B29-85B8-350C7ED9A022}" name="kg CaCO3/m2/yr" dataDxfId="1081">
      <calculatedColumnFormula>IFERROR(K140/1000, "")</calculatedColumnFormula>
    </tableColumn>
    <tableColumn id="13" xr3:uid="{EA199D37-BE70-4DE6-A1F1-0C22CE9E3C6F}" name="." dataDxfId="1080"/>
    <tableColumn id="14" xr3:uid="{0A52F0AE-F91F-4090-87AC-F5CBBF08CE10}" name="Species 1" dataDxfId="1079">
      <calculatedColumnFormula>IF(B140=1, L140,"")</calculatedColumnFormula>
    </tableColumn>
    <tableColumn id="15" xr3:uid="{422B82A3-278B-477F-AA19-4EC20E02F0A0}" name="Species 2" dataDxfId="1078">
      <calculatedColumnFormula>IF(B140=2, L140,"")</calculatedColumnFormula>
    </tableColumn>
    <tableColumn id="16" xr3:uid="{7F67C834-CD99-473A-A4E1-F9570DC3C362}" name="Species 3" dataDxfId="1077">
      <calculatedColumnFormula>IF(B140=3, L140,"")</calculatedColumnFormula>
    </tableColumn>
    <tableColumn id="17" xr3:uid="{215745C4-423F-4259-98A4-41BE0F3610C1}" name="Species 4" dataDxfId="1076">
      <calculatedColumnFormula>IF(B140=4, L140,"")</calculatedColumnFormula>
    </tableColumn>
    <tableColumn id="18" xr3:uid="{49C21DE9-C249-4F25-A5EF-42266EBBA0E9}" name="Species 5" dataDxfId="1075">
      <calculatedColumnFormula>IF(B140=5, L140,"")</calculatedColumnFormula>
    </tableColumn>
    <tableColumn id="19" xr3:uid="{B18B4591-B0ED-436C-AD85-B440E212AA59}" name="Species 6" dataDxfId="1074">
      <calculatedColumnFormula>IF(B140=6, L140,"")</calculatedColumnFormula>
    </tableColumn>
    <tableColumn id="20" xr3:uid="{495B13D0-6042-46C3-B269-CE5D5874ADFD}" name="Species 7" dataDxfId="1073">
      <calculatedColumnFormula>IF(B140=7, L140,"")</calculatedColumnFormula>
    </tableColumn>
    <tableColumn id="21" xr3:uid="{2A93B66F-9F46-4157-BEF1-980391D70333}" name="Species 8" dataDxfId="1072">
      <calculatedColumnFormula>IF(B140=8, L140,"")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C198050D-FD27-40A6-84E7-7151063076BA}" name="TableA8" displayName="TableA8" ref="A157:U167" totalsRowShown="0" headerRowDxfId="1071" dataDxfId="1070" tableBorderDxfId="1069">
  <tableColumns count="21">
    <tableColumn id="1" xr3:uid="{EC7A6A2A-8CDD-449B-BEEE-8E9B35695DEA}" name="Quadrat #" dataDxfId="1068">
      <calculatedColumnFormula>8</calculatedColumnFormula>
    </tableColumn>
    <tableColumn id="2" xr3:uid="{E29755D2-5AE4-4A74-AC04-C5F58A3E159F}" name="Species / morphology code (select from above)" dataDxfId="1067"/>
    <tableColumn id="3" xr3:uid="{95668843-89B1-45C2-AA73-4F286086A383}" name=" width  (mm)" dataDxfId="1066"/>
    <tableColumn id="4" xr3:uid="{E28DD259-84C4-498F-BC7B-B419F6565049}" name="depth (mm)" dataDxfId="1065"/>
    <tableColumn id="5" xr3:uid="{B07F20B8-D7B8-4340-BBA3-A5756D995518}" name="height h (mm)" dataDxfId="1064"/>
    <tableColumn id="6" xr3:uid="{91D6AB3C-2AE3-40D2-BDF0-3DF092C01CBD}" name="Total thallus volume (cm3)" dataDxfId="1063">
      <calculatedColumnFormula>(0.5*(4/3*(PI()*((C158*0.5)*(D158*0.5)*E158)))/1000)</calculatedColumnFormula>
    </tableColumn>
    <tableColumn id="7" xr3:uid="{FCB7204D-204A-4AA1-82A3-2E74F14EBF98}" name="Growth rate (mm/day)" dataDxfId="1062">
      <calculatedColumnFormula>IF(B158=1,$D$11,IF(B158=2,$D$12,IF(B158=3,$D$13,IF(B158=4,$D$14,IF(B158=5,$D$15,IF(B158=6,$D$16,IF(B158=7,$D$17,IF(B158=8,$D$18,))))))))</calculatedColumnFormula>
    </tableColumn>
    <tableColumn id="8" xr3:uid="{AD45849E-1A2C-4943-A596-9EDAD8E0FD2D}" name="Volume Increase in 1 day (cm3)" dataDxfId="1061">
      <calculatedColumnFormula>IF(F158&gt;0,(((0.5*(4/3*(PI()*(((0.5*C158)+G158))*(((0.5*D158)+G158))*(E158+G158))))/1000-F158)), 0)</calculatedColumnFormula>
    </tableColumn>
    <tableColumn id="9" xr3:uid="{38126952-FCE7-4D99-94EB-7EF93A6C9A31}" name="CaCO3 per cm3" dataDxfId="1060">
      <calculatedColumnFormula>IF(B158=1,$G$11,IF(B158=2,$G$12,IF(B158=3,$G$13,IF(B158=4,$G$14,IF(B158=5,$G$15,IF(B158=6,$G$16,IF(B158=7,$G$17,IF(B158=8,$G$18,""))))))))</calculatedColumnFormula>
    </tableColumn>
    <tableColumn id="10" xr3:uid="{7F455313-4145-4323-A542-00343CC009DA}" name="CaCO3 prod (g) /thallus/yr" dataDxfId="1059">
      <calculatedColumnFormula>IFERROR((H158*I158)*365, "")</calculatedColumnFormula>
    </tableColumn>
    <tableColumn id="11" xr3:uid="{973664CA-0FFD-4912-B415-F355F713F33E}" name="g CaCO3/m2/yr" dataDxfId="1058">
      <calculatedColumnFormula>IFERROR(J158*(1/$B$6), "")</calculatedColumnFormula>
    </tableColumn>
    <tableColumn id="12" xr3:uid="{40CB3C15-7E56-4D1D-B4A4-53FE615B529D}" name="kg CaCO3/m2/yr" dataDxfId="1057">
      <calculatedColumnFormula>IFERROR(K158/1000, "")</calculatedColumnFormula>
    </tableColumn>
    <tableColumn id="13" xr3:uid="{05839FDB-4B0C-487A-8ED8-405111F77D4A}" name="." dataDxfId="1056"/>
    <tableColumn id="14" xr3:uid="{FF9F1FEB-5213-4BBB-AFEF-B0D7310B6C73}" name="Species 1" dataDxfId="1055">
      <calculatedColumnFormula>IF(B158=1, L158,"")</calculatedColumnFormula>
    </tableColumn>
    <tableColumn id="15" xr3:uid="{08F7297D-3B22-42A5-AD68-E84F585066F5}" name="Species 2" dataDxfId="1054">
      <calculatedColumnFormula>IF(B158=2, L158,"")</calculatedColumnFormula>
    </tableColumn>
    <tableColumn id="16" xr3:uid="{A623F5E0-61C9-4ED6-934C-5407780BAF6A}" name="Species 3" dataDxfId="1053">
      <calculatedColumnFormula>IF(B158=3, L158,"")</calculatedColumnFormula>
    </tableColumn>
    <tableColumn id="17" xr3:uid="{811E1327-A216-4E62-A9E5-34E39C6A116E}" name="Species 4" dataDxfId="1052">
      <calculatedColumnFormula>IF(B158=4, L158,"")</calculatedColumnFormula>
    </tableColumn>
    <tableColumn id="18" xr3:uid="{FC04C7A5-716C-4048-B79A-4D4DDE83D78F}" name="Species 5" dataDxfId="1051">
      <calculatedColumnFormula>IF(B158=5, L158,"")</calculatedColumnFormula>
    </tableColumn>
    <tableColumn id="19" xr3:uid="{E98F0479-963D-4934-B1DA-8CBA4987B9EC}" name="Species 6" dataDxfId="1050">
      <calculatedColumnFormula>IF(B158=6, L158,"")</calculatedColumnFormula>
    </tableColumn>
    <tableColumn id="20" xr3:uid="{C314D5E7-4C6D-4687-BD32-924D9C6EA4B2}" name="Species 7" dataDxfId="1049">
      <calculatedColumnFormula>IF(B158=7, L158,"")</calculatedColumnFormula>
    </tableColumn>
    <tableColumn id="21" xr3:uid="{E19BB8F1-579B-49AA-93D0-EE4252E66A64}" name="Species 8" dataDxfId="1048">
      <calculatedColumnFormula>IF(B158=8, L158,"")</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FA1009E5-C956-4555-BFDE-86BF1A41B8A1}" name="TableA9" displayName="TableA9" ref="A175:U185" totalsRowShown="0" headerRowDxfId="1047" dataDxfId="1046" tableBorderDxfId="1045">
  <tableColumns count="21">
    <tableColumn id="1" xr3:uid="{5A239526-CCF3-4251-AD80-67B641AF4898}" name="Quadrat #" dataDxfId="1044">
      <calculatedColumnFormula>9</calculatedColumnFormula>
    </tableColumn>
    <tableColumn id="2" xr3:uid="{E187E5EA-DB2F-430C-83DD-3FF2DBF61C72}" name="Species / morphology code (select from above)" dataDxfId="1043"/>
    <tableColumn id="3" xr3:uid="{1053F5C8-6C31-4F1A-9638-E7D8CC31ACB7}" name=" width  (mm)" dataDxfId="1042"/>
    <tableColumn id="4" xr3:uid="{670274FA-E35C-454B-932C-0F1AA2352BEB}" name="depth (mm)" dataDxfId="1041"/>
    <tableColumn id="5" xr3:uid="{B6EF0418-0561-4B37-A3AC-81344DC80DC6}" name="height h (mm)" dataDxfId="1040"/>
    <tableColumn id="6" xr3:uid="{5717861A-6958-4598-90FC-CF9271477B50}" name="Total thallus volume (cm3)" dataDxfId="1039">
      <calculatedColumnFormula>(0.5*(4/3*(PI()*((C176*0.5)*(D176*0.5)*E176)))/1000)</calculatedColumnFormula>
    </tableColumn>
    <tableColumn id="7" xr3:uid="{2E4B6955-4DD4-43AE-A550-374D289D07F2}" name="Growth rate (mm/day)" dataDxfId="1038">
      <calculatedColumnFormula>IF(B176=1,$D$11,IF(B176=2,$D$12,IF(B176=3,$D$13,IF(B176=4,$D$14,IF(B176=5,$D$15,IF(B176=6,$D$16,IF(B176=7,$D$17,IF(B176=8,$D$18,))))))))</calculatedColumnFormula>
    </tableColumn>
    <tableColumn id="8" xr3:uid="{F4DC71E2-A6C9-4DF4-89D3-1FF61072E8B3}" name="Volume Increase in 1 day (cm3)" dataDxfId="1037">
      <calculatedColumnFormula>IF(F176&gt;0,(((0.5*(4/3*(PI()*(((0.5*C176)+G176))*(((0.5*D176)+G176))*(E176+G176))))/1000-F176)), 0)</calculatedColumnFormula>
    </tableColumn>
    <tableColumn id="9" xr3:uid="{07FA7C48-1787-40C1-B3D1-42E9A850BB5C}" name="CaCO3 per cm3" dataDxfId="1036">
      <calculatedColumnFormula>IF(B176=1,$G$11,IF(B176=2,$G$12,IF(B176=3,$G$13,IF(B176=4,$G$14,IF(B176=5,$G$15,IF(B176=6,$G$16,IF(B176=7,$G$17,IF(B176=8,$G$18,""))))))))</calculatedColumnFormula>
    </tableColumn>
    <tableColumn id="10" xr3:uid="{9A714FC1-06FE-48E8-8AC0-5F74F29D0201}" name="CaCO3 prod (g) /thallus/yr" dataDxfId="1035">
      <calculatedColumnFormula>IFERROR((H176*I176)*365, "")</calculatedColumnFormula>
    </tableColumn>
    <tableColumn id="11" xr3:uid="{EB6D0A5F-16DC-4717-BE1C-023BCA451304}" name="g CaCO3/m2/yr" dataDxfId="1034">
      <calculatedColumnFormula>IFERROR(J176*(1/$B$6), "")</calculatedColumnFormula>
    </tableColumn>
    <tableColumn id="12" xr3:uid="{C7579AE1-295F-4B1D-9CB1-E11DE1BB038F}" name="kg CaCO3/m2/yr" dataDxfId="1033">
      <calculatedColumnFormula>IFERROR(K176/1000, "")</calculatedColumnFormula>
    </tableColumn>
    <tableColumn id="13" xr3:uid="{74DB8198-74C3-4D1A-9714-EB3BB3FA0974}" name="." dataDxfId="1032"/>
    <tableColumn id="14" xr3:uid="{46B2628B-A626-45E6-BF42-EBEB10D8F19F}" name="Species 1" dataDxfId="1031">
      <calculatedColumnFormula>IF(B176=1, L176,"")</calculatedColumnFormula>
    </tableColumn>
    <tableColumn id="15" xr3:uid="{39F01873-D15B-4DF1-8118-10457BC5EA91}" name="Species 2" dataDxfId="1030">
      <calculatedColumnFormula>IF(B176=2, L176,"")</calculatedColumnFormula>
    </tableColumn>
    <tableColumn id="16" xr3:uid="{F54B80C6-4324-457C-80C6-5ED6085B6BEA}" name="Species 3" dataDxfId="1029">
      <calculatedColumnFormula>IF(B176=3, L176,"")</calculatedColumnFormula>
    </tableColumn>
    <tableColumn id="17" xr3:uid="{0A0D6711-E2C2-4996-8DFB-5EC16D8290B5}" name="Species 4" dataDxfId="1028">
      <calculatedColumnFormula>IF(B176=4, L176,"")</calculatedColumnFormula>
    </tableColumn>
    <tableColumn id="18" xr3:uid="{70221D09-488D-4CD4-8923-26812DDB5273}" name="Species 5" dataDxfId="1027">
      <calculatedColumnFormula>IF(B176=5, L176,"")</calculatedColumnFormula>
    </tableColumn>
    <tableColumn id="19" xr3:uid="{FA8CDDCF-6E66-477D-A799-EFAFD1721D50}" name="Species 6" dataDxfId="1026">
      <calculatedColumnFormula>IF(B176=6, L176,"")</calculatedColumnFormula>
    </tableColumn>
    <tableColumn id="20" xr3:uid="{9F9D3C6C-FB56-4357-8B29-0D1B940E09F9}" name="Species 7" dataDxfId="1025">
      <calculatedColumnFormula>IF(B176=7, L176,"")</calculatedColumnFormula>
    </tableColumn>
    <tableColumn id="21" xr3:uid="{06228270-BC83-4FB8-9D7C-A4E70EFBAFFF}" name="Species 8" dataDxfId="1024">
      <calculatedColumnFormula>IF(B176=8, L176,"")</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689C8C0A-1426-4975-98B3-DDC12435BE61}" name="TableA10" displayName="TableA10" ref="A193:U203" totalsRowShown="0" headerRowDxfId="1023" dataDxfId="1022" tableBorderDxfId="1021">
  <tableColumns count="21">
    <tableColumn id="1" xr3:uid="{5B204451-A468-4BC8-B29A-29ED8B1F8AB0}" name="Quadrat #" dataDxfId="1020">
      <calculatedColumnFormula>10</calculatedColumnFormula>
    </tableColumn>
    <tableColumn id="2" xr3:uid="{019270B2-3395-4E79-AE1F-762602DAC041}" name="Species / morphology code (select from above)" dataDxfId="1019"/>
    <tableColumn id="3" xr3:uid="{314B8080-CEAC-4FA0-B037-76CD56988A05}" name=" width  (mm)" dataDxfId="1018"/>
    <tableColumn id="4" xr3:uid="{FD26BF3B-8EAE-485A-A61F-7232D6D79355}" name="depth (mm)" dataDxfId="1017"/>
    <tableColumn id="5" xr3:uid="{DA3A254E-8FC2-4881-B9BD-8210A25778CE}" name="height h (mm)" dataDxfId="1016"/>
    <tableColumn id="6" xr3:uid="{54ED0C4C-F719-4056-AA28-A710C49043BC}" name="Total thallus volume (cm3)" dataDxfId="1015">
      <calculatedColumnFormula>(0.5*(4/3*(PI()*((C194*0.5)*(D194*0.5)*E194)))/1000)</calculatedColumnFormula>
    </tableColumn>
    <tableColumn id="7" xr3:uid="{87EB04B7-DEF4-4854-997C-42C220EACBD7}" name="Growth rate (mm/day)" dataDxfId="1014">
      <calculatedColumnFormula>IF(B194=1,$D$11,IF(B194=2,$D$12,IF(B194=3,$D$13,IF(B194=4,$D$14,IF(B194=5,$D$15,IF(B194=6,$D$16,IF(B194=7,$D$17,IF(B194=8,$D$18,))))))))</calculatedColumnFormula>
    </tableColumn>
    <tableColumn id="8" xr3:uid="{F83B152F-6918-4CCC-A7D7-7CD1E4B21140}" name="Volume Increase in 1 day (cm3)" dataDxfId="1013">
      <calculatedColumnFormula>IF(F194&gt;0,(((0.5*(4/3*(PI()*(((0.5*C194)+G194))*(((0.5*D194)+G194))*(E194+G194))))/1000-F194)), 0)</calculatedColumnFormula>
    </tableColumn>
    <tableColumn id="9" xr3:uid="{F7B7D2D5-78DE-44A1-877F-B98C2F869D76}" name="CaCO3 per cm3" dataDxfId="1012">
      <calculatedColumnFormula>IF(B194=1,$G$11,IF(B194=2,$G$12,IF(B194=3,$G$13,IF(B194=4,$G$14,IF(B194=5,$G$15,IF(B194=6,$G$16,IF(B194=7,$G$17,IF(B194=8,$G$18,""))))))))</calculatedColumnFormula>
    </tableColumn>
    <tableColumn id="10" xr3:uid="{D1D8D343-26EC-4AA3-AB21-2976BD6F5B19}" name="CaCO3 prod (g) /thallus/yr" dataDxfId="1011">
      <calculatedColumnFormula>IFERROR((H194*I194)*365, "")</calculatedColumnFormula>
    </tableColumn>
    <tableColumn id="11" xr3:uid="{950A0F34-E146-4654-8A09-6EEE09837C20}" name="g CaCO3/m2/yr" dataDxfId="1010">
      <calculatedColumnFormula>IFERROR(J194*(1/$B$6), "")</calculatedColumnFormula>
    </tableColumn>
    <tableColumn id="12" xr3:uid="{E745FF8D-EE69-446A-A612-C1D102687847}" name="kg CaCO3/m2/yr" dataDxfId="1009">
      <calculatedColumnFormula>IFERROR(K194/1000, "")</calculatedColumnFormula>
    </tableColumn>
    <tableColumn id="13" xr3:uid="{7E1E74AB-EDDF-4E29-9852-2F405CC8FD28}" name="." dataDxfId="1008"/>
    <tableColumn id="14" xr3:uid="{4F46ABA8-0DB4-4378-9325-350F30548471}" name="Species 1" dataDxfId="1007">
      <calculatedColumnFormula>IF(B194=1, L194,"")</calculatedColumnFormula>
    </tableColumn>
    <tableColumn id="15" xr3:uid="{322BCBF1-C69F-4372-AE66-056EB10B407D}" name="Species 2" dataDxfId="1006">
      <calculatedColumnFormula>IF(B194=2, L194,"")</calculatedColumnFormula>
    </tableColumn>
    <tableColumn id="16" xr3:uid="{3A85696E-6F9B-4965-B4D5-34FD3ADF396E}" name="Species 3" dataDxfId="1005">
      <calculatedColumnFormula>IF(B194=3, L194,"")</calculatedColumnFormula>
    </tableColumn>
    <tableColumn id="17" xr3:uid="{585E51CE-781E-4D9B-B06B-681704481FF3}" name="Species 4" dataDxfId="1004">
      <calculatedColumnFormula>IF(B194=4, L194,"")</calculatedColumnFormula>
    </tableColumn>
    <tableColumn id="18" xr3:uid="{C8561442-E845-4C63-84F9-B1D8142FBF29}" name="Species 5" dataDxfId="1003">
      <calculatedColumnFormula>IF(B194=5, L194,"")</calculatedColumnFormula>
    </tableColumn>
    <tableColumn id="19" xr3:uid="{1B60B9C8-C6D9-4542-903E-FA8FEF0DE9CB}" name="Species 6" dataDxfId="1002">
      <calculatedColumnFormula>IF(B194=6, L194,"")</calculatedColumnFormula>
    </tableColumn>
    <tableColumn id="20" xr3:uid="{5D2EF1A4-E634-4156-95CC-2DF844F37352}" name="Species 7" dataDxfId="1001">
      <calculatedColumnFormula>IF(B194=7, L194,"")</calculatedColumnFormula>
    </tableColumn>
    <tableColumn id="21" xr3:uid="{BF3FF3B6-B026-44E4-92C9-6055D54FABCF}" name="Species 8" dataDxfId="1000">
      <calculatedColumnFormula>IF(B194=8, L194,"")</calculatedColumnFormula>
    </tableColumn>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95E0534B-C649-4079-B442-4F3BC3602F11}" name="TableH1" displayName="TableH1" ref="A34:U44" totalsRowShown="0" headerRowDxfId="999" dataDxfId="998" tableBorderDxfId="997">
  <tableColumns count="21">
    <tableColumn id="1" xr3:uid="{B0D0E329-2CE1-4D66-B1B1-BD369DB5BF6E}" name="Quadrat #" dataDxfId="996">
      <calculatedColumnFormula>1</calculatedColumnFormula>
    </tableColumn>
    <tableColumn id="2" xr3:uid="{E81A8E58-17EE-4058-95D9-A6FD707B061D}" name="Species / morphology code (select from above)" dataDxfId="995"/>
    <tableColumn id="3" xr3:uid="{6E224D3E-81B1-4ACE-B51E-C86745F0328B}" name="height h (mm)" dataDxfId="994"/>
    <tableColumn id="4" xr3:uid="{B6598DF1-7675-49E0-8C24-825EC17B0B0C}" name="width w (mm)" dataDxfId="993"/>
    <tableColumn id="5" xr3:uid="{8154F6D1-972E-43DC-9914-64FEBD18A48F}" name="depth d (mm)" dataDxfId="992"/>
    <tableColumn id="6" xr3:uid="{1520C9A8-370C-4F9C-94B2-8BFF6ADC711F}" name="Total thallus volume (cm3)" dataDxfId="991">
      <calculatedColumnFormula>IF(B35="", "",
    IFERROR(
        IF(
            VLOOKUP(B35,HalimedaInitialMetrics,11,FALSE)="EC",
            ((PI()*(E35*0.5)*(D35*0.5)*C35)/3)/1000,
            IF(
                VLOOKUP(B35,HalimedaInitialMetrics,11,FALSE)="HE",
                ((PI()*(2/3)*(E35*0.5)*(D35*0.5)*C35))/1000,
                ""
            )
        ),
        ""
    )
)</calculatedColumnFormula>
    </tableColumn>
    <tableColumn id="7" xr3:uid="{D24C1B2C-897C-43E5-8886-FD9443476F5F}" name="Crops per year" dataDxfId="990">
      <calculatedColumnFormula>IF(B35=1,$G$11,IF(B35=2,$G$12,IF(B35=3,$G$13,IF(B35=4,$G$14,IF(B35=5,$G$15,IF(B35=6,$G$16,IF(B35=7,$G$17,IF(B35=8,$G$18,""))))))))</calculatedColumnFormula>
    </tableColumn>
    <tableColumn id="8" xr3:uid="{8D32F5B3-B265-4D0A-BE4D-733918BE306B}" name="Calculated # segments" dataDxfId="989">
      <calculatedColumnFormula>IF(B35=1,F35*D$11,IF(B35=2,F35*D$12,IF(B35=3,F35*D$13,IF(B35=4,F35*D$14,IF(B35=5,F35*D$15,IF(B35=6,F35*D$16,IF(B35=7,F35*D$17,IF(B35=8,F35*D$18,""))))))))</calculatedColumnFormula>
    </tableColumn>
    <tableColumn id="9" xr3:uid="{30FA74B8-426E-4682-AFEF-388876F40039}" name="CaCO3 content/segment" dataDxfId="988">
      <calculatedColumnFormula>IF(B35=1,$J$11,IF(B35=2,$J$12,IF(B35=3,$J$13,IF(B35=4,$J$14,IF(B35=5,$J$15,IF(B35=6,$J$16,IF(B35=7,$J$17,IF(B35=8,$J$18,""))))))))</calculatedColumnFormula>
    </tableColumn>
    <tableColumn id="10" xr3:uid="{902BC722-AB65-48FF-9EBF-C3A1890FE4F5}" name="CaCO3 prod (g) /thallus/yr" dataDxfId="987">
      <calculatedColumnFormula>IFERROR((H35*I35)*G35, "")</calculatedColumnFormula>
    </tableColumn>
    <tableColumn id="11" xr3:uid="{A574B0B8-21C0-4747-8E83-B8258E81B91C}" name="g CaCO3/m2/yr" dataDxfId="986">
      <calculatedColumnFormula>IFERROR(J35*(1/$B$6),"")</calculatedColumnFormula>
    </tableColumn>
    <tableColumn id="12" xr3:uid="{5F41ACE8-C4BA-4949-8E84-356626B9C963}" name="kg CaCO3/m2/yr" dataDxfId="985">
      <calculatedColumnFormula>IFERROR(K35/1000,"")</calculatedColumnFormula>
    </tableColumn>
    <tableColumn id="13" xr3:uid="{BB1E6CB0-97DD-4AFF-B10D-E4257251868B}" name="." dataDxfId="984"/>
    <tableColumn id="14" xr3:uid="{AF1507F7-1972-4B1D-9150-918699026BA8}" name="Species 1" dataDxfId="983">
      <calculatedColumnFormula>IF($B35=1, $L35,"")</calculatedColumnFormula>
    </tableColumn>
    <tableColumn id="15" xr3:uid="{A3083058-EE2F-4C99-9436-41160BE14A04}" name="Species 2" dataDxfId="982">
      <calculatedColumnFormula>IF($B35=2, $L35,"")</calculatedColumnFormula>
    </tableColumn>
    <tableColumn id="16" xr3:uid="{713659C9-02BE-40B7-9D2B-2B28C930A0CC}" name="Species 3" dataDxfId="981">
      <calculatedColumnFormula>IF($B35=3, $L35,"")</calculatedColumnFormula>
    </tableColumn>
    <tableColumn id="17" xr3:uid="{B2828393-020D-4672-AA38-2885508C7C9B}" name="Species 4" dataDxfId="980">
      <calculatedColumnFormula>IF($B35=4, $L35,"")</calculatedColumnFormula>
    </tableColumn>
    <tableColumn id="18" xr3:uid="{746CE1DD-0724-49B0-9435-570E60DC6FFF}" name="Species 5" dataDxfId="979">
      <calculatedColumnFormula>IF($B35=5, $L35,"")</calculatedColumnFormula>
    </tableColumn>
    <tableColumn id="19" xr3:uid="{CB62F498-E859-4EF9-8D12-0EB077D1470B}" name="Species 6" dataDxfId="978">
      <calculatedColumnFormula>IF($B35=6, $L35,"")</calculatedColumnFormula>
    </tableColumn>
    <tableColumn id="20" xr3:uid="{E47CCE40-286A-4820-98EF-CF9119A7983D}" name="Species 7" dataDxfId="977">
      <calculatedColumnFormula>IF($B35=7, $L35,"")</calculatedColumnFormula>
    </tableColumn>
    <tableColumn id="21" xr3:uid="{5E197F25-9A60-4885-878D-13C04C2E0C2B}" name="Species 8" dataDxfId="976">
      <calculatedColumnFormula>IF($B35=8, $L35,"")</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5F2D3CAD-DD91-45B7-842E-C6C5BFB88A01}" name="TableH2" displayName="TableH2" ref="A51:U61" totalsRowShown="0" headerRowDxfId="975" dataDxfId="974" tableBorderDxfId="973">
  <tableColumns count="21">
    <tableColumn id="1" xr3:uid="{8F1EB1B2-8B5D-4D9D-8669-B4DDFDB3DCB7}" name="Quadrat #" dataDxfId="972">
      <calculatedColumnFormula>2</calculatedColumnFormula>
    </tableColumn>
    <tableColumn id="2" xr3:uid="{8E7C51A8-C5E4-4248-9B23-CEF322864BB4}" name="Species / morphology code (select from above)" dataDxfId="971"/>
    <tableColumn id="3" xr3:uid="{FE2C0181-87FD-4088-8703-0618DAFBE1B0}" name="height h (mm)" dataDxfId="970"/>
    <tableColumn id="4" xr3:uid="{30B5436F-6DF6-4BC3-9D7C-65D67ECCFEFD}" name="width w (mm)" dataDxfId="969"/>
    <tableColumn id="5" xr3:uid="{A935232F-3FE3-49E9-B26E-4F0B05A06B88}" name="depth d (mm)" dataDxfId="968"/>
    <tableColumn id="6" xr3:uid="{233BEFF7-A27D-433A-83D8-EDC6DC1964FE}" name="Total thallus volume (cm3)" dataDxfId="967">
      <calculatedColumnFormula>IF(B52="", "",
    IFERROR(
        IF(
            VLOOKUP(B52,HalimedaInitialMetrics,11,FALSE)="EC",
            ((PI()*(E52*0.5)*(D52*0.5)*C52)/3)/1000,
            IF(
                VLOOKUP(B52,HalimedaInitialMetrics,11,FALSE)="HE",
                ((PI()*(2/3)*(E52*0.5)*(D52*0.5)*C52))/1000,
                ""
            )
        ),
        ""
    )
)</calculatedColumnFormula>
    </tableColumn>
    <tableColumn id="7" xr3:uid="{55C4A9F5-B362-411F-AFF2-8F566C479684}" name="Crops per year" dataDxfId="966">
      <calculatedColumnFormula>IF(B52=1,$G$11,IF(B52=2,$G$12,IF(B52=3,$G$13,IF(B52=4,$G$14,IF(B52=5,$G$15,IF(B52=6,$G$16,IF(B52=7,$G$17,IF(B52=8,$G$18,""))))))))</calculatedColumnFormula>
    </tableColumn>
    <tableColumn id="8" xr3:uid="{C9D6541A-A1F7-4657-BC7F-B1C4B151A60F}" name="Calculated # segments" dataDxfId="965">
      <calculatedColumnFormula>IF(B52=1,F52*D$11,IF(B52=2,F52*D$12,IF(B52=3,F52*D$13,IF(B52=4,F52*D$14,IF(B52=5,F52*D$15,IF(B52=6,F52*D$16,IF(B52=7,F52*D$17,IF(B52=8,F52*D$18,""))))))))</calculatedColumnFormula>
    </tableColumn>
    <tableColumn id="9" xr3:uid="{8DFC616E-2710-4D74-9DEE-7EB925CF7B27}" name="CaCO3 content/segment" dataDxfId="964">
      <calculatedColumnFormula>IF(B52=1,$J$11,IF(B52=2,$J$12,IF(B52=3,$J$13,IF(B52=4,$J$14,IF(B52=5,$J$15,IF(B52=6,$J$16,IF(B52=7,$J$17,IF(B52=8,$J$18,""))))))))</calculatedColumnFormula>
    </tableColumn>
    <tableColumn id="10" xr3:uid="{A1BAED72-41F8-40D6-92EA-5464B1D0CC46}" name="CaCO3 prod (g) /thallus/yr" dataDxfId="963">
      <calculatedColumnFormula>IFERROR((H52*I52)*G52, "")</calculatedColumnFormula>
    </tableColumn>
    <tableColumn id="11" xr3:uid="{8B55D973-49C3-4A0F-AD31-EFFA1A909C53}" name="g CaCO3/m2/yr" dataDxfId="962">
      <calculatedColumnFormula>IFERROR(J52*(1/$B$6),"")</calculatedColumnFormula>
    </tableColumn>
    <tableColumn id="12" xr3:uid="{4581880A-4C85-47C9-A435-6F2A94705EF8}" name="kg CaCO3/m2/yr" dataDxfId="961">
      <calculatedColumnFormula>IFERROR(K52/1000,"")</calculatedColumnFormula>
    </tableColumn>
    <tableColumn id="13" xr3:uid="{48DE96F4-A5F8-4E30-B7AD-9FAD089735CC}" name="." dataDxfId="960"/>
    <tableColumn id="14" xr3:uid="{18433344-0ABB-45E0-A087-F46B82A3C771}" name="Species 1" dataDxfId="959">
      <calculatedColumnFormula>IF($B52=1, $L52,"")</calculatedColumnFormula>
    </tableColumn>
    <tableColumn id="15" xr3:uid="{732E65DE-A1FC-487C-8AED-29E13D2F59AA}" name="Species 2" dataDxfId="958">
      <calculatedColumnFormula>IF($B52=2, $L52,"")</calculatedColumnFormula>
    </tableColumn>
    <tableColumn id="16" xr3:uid="{53F20C69-287A-433B-ACE7-6E6BA0070FB0}" name="Species 3" dataDxfId="957">
      <calculatedColumnFormula>IF($B52=3, $L52,"")</calculatedColumnFormula>
    </tableColumn>
    <tableColumn id="17" xr3:uid="{FBAF7B33-1902-44A8-B18A-639B65CB5DC3}" name="Species 4" dataDxfId="956">
      <calculatedColumnFormula>IF($B52=4, $L52,"")</calculatedColumnFormula>
    </tableColumn>
    <tableColumn id="18" xr3:uid="{6DD159AB-B6D7-44FB-A819-0D6819756805}" name="Species 5" dataDxfId="955">
      <calculatedColumnFormula>IF($B52=5, $L52,"")</calculatedColumnFormula>
    </tableColumn>
    <tableColumn id="19" xr3:uid="{991AB744-00A5-4CAB-B400-40F448D10692}" name="Species 6" dataDxfId="954">
      <calculatedColumnFormula>IF($B52=6, $L52,"")</calculatedColumnFormula>
    </tableColumn>
    <tableColumn id="20" xr3:uid="{DBC465B6-EC84-44A2-A816-25511C4CFB3A}" name="Species 7" dataDxfId="953">
      <calculatedColumnFormula>IF($B52=7, $L52,"")</calculatedColumnFormula>
    </tableColumn>
    <tableColumn id="21" xr3:uid="{4A6FA5BB-A280-4FF1-BD0C-0AA755CF02B1}" name="Species 8" dataDxfId="952">
      <calculatedColumnFormula>IF($B52=8, $L52,"")</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CB2EA20-9DC0-4BD1-8668-049C36854731}" name="TableH3" displayName="TableH3" ref="A68:U78" totalsRowShown="0" headerRowDxfId="951" dataDxfId="950" tableBorderDxfId="949">
  <tableColumns count="21">
    <tableColumn id="1" xr3:uid="{68FCE2F8-28C6-4DF0-A890-78DDD3B48936}" name="Quadrat #" dataDxfId="948">
      <calculatedColumnFormula>3</calculatedColumnFormula>
    </tableColumn>
    <tableColumn id="2" xr3:uid="{82790E70-3095-4E49-A343-F50B9EA89B4C}" name="Species / morphology code (select from above)" dataDxfId="947"/>
    <tableColumn id="3" xr3:uid="{59254C2B-FC82-44D1-AA72-1A3A4255ABEB}" name="height h (mm)" dataDxfId="946"/>
    <tableColumn id="4" xr3:uid="{19BA3435-1279-4C09-81AF-DBE4767A7992}" name="width w (mm)" dataDxfId="945"/>
    <tableColumn id="5" xr3:uid="{F0F4F58B-BAF4-4F72-9BB8-42FFD7F522D2}" name="depth d (mm)" dataDxfId="944"/>
    <tableColumn id="6" xr3:uid="{7A20B7D7-4D45-403A-9F31-4EA9404A59DC}" name="Total thallus volume (cm3)" dataDxfId="943">
      <calculatedColumnFormula>IF(B69="", "",
    IFERROR(
        IF(
            VLOOKUP(B69,HalimedaInitialMetrics,11,FALSE)="EC",
            ((PI()*(E69*0.5)*(D69*0.5)*C69)/3)/1000,
            IF(
                VLOOKUP(B69,HalimedaInitialMetrics,11,FALSE)="HE",
                ((PI()*(2/3)*(E69*0.5)*(D69*0.5)*C69))/1000,
                ""
            )
        ),
        ""
    )
)</calculatedColumnFormula>
    </tableColumn>
    <tableColumn id="7" xr3:uid="{9E0D22CC-0BE4-4F90-AE3F-7FFD2C3CA4DA}" name="Crops per year" dataDxfId="942">
      <calculatedColumnFormula>IF(B69=1,$G$11,IF(B69=2,$G$12,IF(B69=3,$G$13,IF(B69=4,$G$14,IF(B69=5,$G$15,IF(B69=6,$G$16,IF(B69=7,$G$17,IF(B69=8,$G$18,""))))))))</calculatedColumnFormula>
    </tableColumn>
    <tableColumn id="8" xr3:uid="{2979D2B0-1A97-471F-98D3-74C6808EA6C6}" name="Calculated # segments" dataDxfId="941">
      <calculatedColumnFormula>IF(B69=1,F69*D$11,IF(B69=2,F69*D$12,IF(B69=3,F69*D$13,IF(B69=4,F69*D$14,IF(B69=5,F69*D$15,IF(B69=6,F69*D$16,IF(B69=7,F69*D$17,IF(B69=8,F69*D$18,""))))))))</calculatedColumnFormula>
    </tableColumn>
    <tableColumn id="9" xr3:uid="{09B0C021-71F1-469E-ACA1-B6F855AD67D4}" name="CaCO3 content/segment" dataDxfId="940">
      <calculatedColumnFormula>IF(B69=1,$J$11,IF(B69=2,$J$12,IF(B69=3,$J$13,IF(B69=4,$J$14,IF(B69=5,$J$15,IF(B69=6,$J$16,IF(B69=7,$J$17,IF(B69=8,$J$18,""))))))))</calculatedColumnFormula>
    </tableColumn>
    <tableColumn id="10" xr3:uid="{72C00C3C-B8A6-4288-B9B0-394134954F54}" name="CaCO3 prod (g) /thallus/yr" dataDxfId="939">
      <calculatedColumnFormula>IFERROR((H69*I69)*G69, "")</calculatedColumnFormula>
    </tableColumn>
    <tableColumn id="11" xr3:uid="{A13B9166-CD3C-4E7F-9FCB-9789AD0939B9}" name="g CaCO3/m2/yr" dataDxfId="938">
      <calculatedColumnFormula>IFERROR(J69*(1/$B$6),"")</calculatedColumnFormula>
    </tableColumn>
    <tableColumn id="12" xr3:uid="{27BCA256-E2D3-4CD9-8629-41A80E8B6EA6}" name="kg CaCO3/m2/yr" dataDxfId="937">
      <calculatedColumnFormula>IFERROR(K69/1000,"")</calculatedColumnFormula>
    </tableColumn>
    <tableColumn id="13" xr3:uid="{79C25E27-3A96-4054-9BE6-6B985B1055DA}" name="." dataDxfId="936"/>
    <tableColumn id="14" xr3:uid="{6801BE8B-1FCB-4774-B5E4-8DCDD8458C7D}" name="Species 1" dataDxfId="935">
      <calculatedColumnFormula>IF($B69=1, $L69,"")</calculatedColumnFormula>
    </tableColumn>
    <tableColumn id="15" xr3:uid="{9096E77B-5095-4936-ACF1-A39112552AD9}" name="Species 2" dataDxfId="934">
      <calculatedColumnFormula>IF($B69=2, $L69,"")</calculatedColumnFormula>
    </tableColumn>
    <tableColumn id="16" xr3:uid="{7C477610-CDB2-4554-BC59-8668F99FAFB4}" name="Species 3" dataDxfId="933">
      <calculatedColumnFormula>IF($B69=3, $L69,"")</calculatedColumnFormula>
    </tableColumn>
    <tableColumn id="17" xr3:uid="{3987AD77-B221-4131-AE28-10862818FB6F}" name="Species 4" dataDxfId="932">
      <calculatedColumnFormula>IF($B69=4, $L69,"")</calculatedColumnFormula>
    </tableColumn>
    <tableColumn id="18" xr3:uid="{0FE9D420-DA26-475D-A396-1D80BC0CE838}" name="Species 5" dataDxfId="931">
      <calculatedColumnFormula>IF($B69=5, $L69,"")</calculatedColumnFormula>
    </tableColumn>
    <tableColumn id="19" xr3:uid="{820F41F3-1F2A-4EEA-9117-B65DE28BE5DB}" name="Species 6" dataDxfId="930">
      <calculatedColumnFormula>IF($B69=6, $L69,"")</calculatedColumnFormula>
    </tableColumn>
    <tableColumn id="20" xr3:uid="{0400CEDE-8996-4DBE-8B52-DA2BE697E3FE}" name="Species 7" dataDxfId="929">
      <calculatedColumnFormula>IF($B69=7, $L69,"")</calculatedColumnFormula>
    </tableColumn>
    <tableColumn id="21" xr3:uid="{BDC5A743-9885-4261-BBF2-58B822A07E91}" name="Species 8" dataDxfId="928">
      <calculatedColumnFormula>IF($B69=8, $L69,"")</calculatedColumnFormula>
    </tableColumn>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8DC3435D-2137-4D38-B831-593168DFDDCA}" name="TableH4" displayName="TableH4" ref="A85:U95" totalsRowShown="0" headerRowDxfId="927" dataDxfId="926" tableBorderDxfId="925">
  <tableColumns count="21">
    <tableColumn id="1" xr3:uid="{B3370E6C-B90A-4B54-BA76-9663997C339A}" name="Quadrat #" dataDxfId="924">
      <calculatedColumnFormula>4</calculatedColumnFormula>
    </tableColumn>
    <tableColumn id="2" xr3:uid="{1D513D7F-B098-4CD9-9679-E674F3D398D6}" name="Species / morphology code (select from above)" dataDxfId="923"/>
    <tableColumn id="3" xr3:uid="{7DDB357A-866E-475C-B534-E6C7FC839780}" name="height h (mm)" dataDxfId="922"/>
    <tableColumn id="4" xr3:uid="{F43F092E-3DD2-4949-A039-8EF693661745}" name="width w (mm)" dataDxfId="921"/>
    <tableColumn id="5" xr3:uid="{795358BD-C21E-4A88-ACD1-5B59E8229DF9}" name="depth d (mm)" dataDxfId="920"/>
    <tableColumn id="6" xr3:uid="{C8F61B29-DFFA-4C42-9B06-44EDA127F535}" name="Total thallus volume (cm3)" dataDxfId="919">
      <calculatedColumnFormula>IF(B86="", "",
    IFERROR(
        IF(
            VLOOKUP(B86,HalimedaInitialMetrics,11,FALSE)="EC",
            ((PI()*(E86*0.5)*(D86*0.5)*C86)/3)/1000,
            IF(
                VLOOKUP(B86,HalimedaInitialMetrics,11,FALSE)="HE",
                ((PI()*(2/3)*(E86*0.5)*(D86*0.5)*C86))/1000,
                ""
            )
        ),
        ""
    )
)</calculatedColumnFormula>
    </tableColumn>
    <tableColumn id="7" xr3:uid="{88784723-920A-4393-998C-59B1A52783DE}" name="Crops per year" dataDxfId="918">
      <calculatedColumnFormula>IF(B86=1,$G$11,IF(B86=2,$G$12,IF(B86=3,$G$13,IF(B86=4,$G$14,IF(B86=5,$G$15,IF(B86=6,$G$16,IF(B86=7,$G$17,IF(B86=8,$G$18,""))))))))</calculatedColumnFormula>
    </tableColumn>
    <tableColumn id="8" xr3:uid="{96177D3B-ED1A-49A1-87A5-D2CA05CE1B55}" name="Calculated # segments" dataDxfId="917">
      <calculatedColumnFormula>IF(B86=1,F86*D$11,IF(B86=2,F86*D$12,IF(B86=3,F86*D$13,IF(B86=4,F86*D$14,IF(B86=5,F86*D$15,IF(B86=6,F86*D$16,IF(B86=7,F86*D$17,IF(B86=8,F86*D$18,""))))))))</calculatedColumnFormula>
    </tableColumn>
    <tableColumn id="9" xr3:uid="{CF044EFA-67C5-4991-A34F-EFF0E5D604FA}" name="CaCO3 content/segment" dataDxfId="916">
      <calculatedColumnFormula>IF(B86=1,$J$11,IF(B86=2,$J$12,IF(B86=3,$J$13,IF(B86=4,$J$14,IF(B86=5,$J$15,IF(B86=6,$J$16,IF(B86=7,$J$17,IF(B86=8,$J$18,""))))))))</calculatedColumnFormula>
    </tableColumn>
    <tableColumn id="10" xr3:uid="{AB1C9D1D-1080-401F-96B6-8AD92D7CFFA3}" name="CaCO3 prod (g) /thallus/yr" dataDxfId="915">
      <calculatedColumnFormula>IFERROR((H86*I86)*G86, "")</calculatedColumnFormula>
    </tableColumn>
    <tableColumn id="11" xr3:uid="{7845F86A-E861-4FC1-8687-F4799DD9DF7C}" name="g CaCO3/m2/yr" dataDxfId="914">
      <calculatedColumnFormula>IFERROR(J86*(1/$B$6),"")</calculatedColumnFormula>
    </tableColumn>
    <tableColumn id="12" xr3:uid="{CF99B540-3B31-4E4F-872F-130E9DB34433}" name="kg CaCO3/m2/yr" dataDxfId="913">
      <calculatedColumnFormula>IFERROR(K86/1000,"")</calculatedColumnFormula>
    </tableColumn>
    <tableColumn id="13" xr3:uid="{FE4B9B33-0B7C-4503-8721-24F4D4FEA9E4}" name="." dataDxfId="912"/>
    <tableColumn id="14" xr3:uid="{BE34AA7D-312D-49A8-9116-8460A3B48D19}" name="Species 1" dataDxfId="911">
      <calculatedColumnFormula>IF($B86=1, $L86,"")</calculatedColumnFormula>
    </tableColumn>
    <tableColumn id="15" xr3:uid="{E7169E96-480C-4F94-AC9A-9E776548C01C}" name="Species 2" dataDxfId="910">
      <calculatedColumnFormula>IF($B86=2, $L86,"")</calculatedColumnFormula>
    </tableColumn>
    <tableColumn id="16" xr3:uid="{E3F1EBAD-E5F2-4050-BAE4-41C6B95EA4C0}" name="Species 3" dataDxfId="909">
      <calculatedColumnFormula>IF($B86=3, $L86,"")</calculatedColumnFormula>
    </tableColumn>
    <tableColumn id="17" xr3:uid="{08FEBA8F-30B0-4F98-9507-E58E252D7E56}" name="Species 4" dataDxfId="908">
      <calculatedColumnFormula>IF($B86=4, $L86,"")</calculatedColumnFormula>
    </tableColumn>
    <tableColumn id="18" xr3:uid="{4ADD1DC9-5FBC-4A50-A9A7-8519AC943712}" name="Species 5" dataDxfId="907">
      <calculatedColumnFormula>IF($B86=5, $L86,"")</calculatedColumnFormula>
    </tableColumn>
    <tableColumn id="19" xr3:uid="{69DF5B3D-B22E-47E1-A91F-8147076510E9}" name="Species 6" dataDxfId="906">
      <calculatedColumnFormula>IF($B86=6, $L86,"")</calculatedColumnFormula>
    </tableColumn>
    <tableColumn id="20" xr3:uid="{4567B8C1-B56B-4F63-8826-87205AB84468}" name="Species 7" dataDxfId="905">
      <calculatedColumnFormula>IF($B86=7, $L86,"")</calculatedColumnFormula>
    </tableColumn>
    <tableColumn id="21" xr3:uid="{382D741F-17E3-407F-9B31-B3E35022F03D}" name="Species 8" dataDxfId="904">
      <calculatedColumnFormula>IF($B86=8, $L86,"")</calculatedColumnFormula>
    </tableColumn>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6E0D4176-349C-43E1-8DCD-B642CE82B250}" name="TableH5" displayName="TableH5" ref="A102:U112" totalsRowShown="0" headerRowDxfId="903" dataDxfId="902" tableBorderDxfId="901">
  <tableColumns count="21">
    <tableColumn id="1" xr3:uid="{F790A1CE-2667-4FE6-B097-EE89286B5B06}" name="Quadrat #" dataDxfId="900">
      <calculatedColumnFormula>5</calculatedColumnFormula>
    </tableColumn>
    <tableColumn id="2" xr3:uid="{EE83238E-A7BA-4B59-8F16-FF601DE9483E}" name="Species / morphology code (select from above)" dataDxfId="899"/>
    <tableColumn id="3" xr3:uid="{20BE0F6B-C957-4180-B1CB-988A27DEC1C9}" name="height h (mm)" dataDxfId="898"/>
    <tableColumn id="4" xr3:uid="{289FA013-5648-4732-985D-67153CBA5E88}" name="width w (mm)" dataDxfId="897"/>
    <tableColumn id="5" xr3:uid="{621F208E-0EEF-41D5-BD39-C16DC9990196}" name="depth d (mm)" dataDxfId="896"/>
    <tableColumn id="6" xr3:uid="{71275388-343A-4661-9E13-82BBFB89E5DE}" name="Total thallus volume (cm3)" dataDxfId="895">
      <calculatedColumnFormula>IF(B103="", "",
    IFERROR(
        IF(
            VLOOKUP(B103,HalimedaInitialMetrics,11,FALSE)="EC",
            ((PI()*(E103*0.5)*(D103*0.5)*C103)/3)/1000,
            IF(
                VLOOKUP(B103,HalimedaInitialMetrics,11,FALSE)="HE",
                ((PI()*(2/3)*(E103*0.5)*(D103*0.5)*C103))/1000,
                ""
            )
        ),
        ""
    )
)</calculatedColumnFormula>
    </tableColumn>
    <tableColumn id="7" xr3:uid="{A0CD52B2-3995-4CB6-B54F-8F857604585B}" name="Crops per year" dataDxfId="894">
      <calculatedColumnFormula>IF(B103=1,$G$11,IF(B103=2,$G$12,IF(B103=3,$G$13,IF(B103=4,$G$14,IF(B103=5,$G$15,IF(B103=6,$G$16,IF(B103=7,$G$17,IF(B103=8,$G$18,""))))))))</calculatedColumnFormula>
    </tableColumn>
    <tableColumn id="8" xr3:uid="{6222022C-D94E-43B2-A87C-D39BF2813BA3}" name="Calculated # segments" dataDxfId="893">
      <calculatedColumnFormula>IF(B103=1,F103*D$11,IF(B103=2,F103*D$12,IF(B103=3,F103*D$13,IF(B103=4,F103*D$14,IF(B103=5,F103*D$15,IF(B103=6,F103*D$16,IF(B103=7,F103*D$17,IF(B103=8,F103*D$18,""))))))))</calculatedColumnFormula>
    </tableColumn>
    <tableColumn id="9" xr3:uid="{D64F0219-A6C2-493A-BB6E-0AA2BF48E125}" name="CaCO3 content/segment" dataDxfId="892">
      <calculatedColumnFormula>IF(B103=1,$J$11,IF(B103=2,$J$12,IF(B103=3,$J$13,IF(B103=4,$J$14,IF(B103=5,$J$15,IF(B103=6,$J$16,IF(B103=7,$J$17,IF(B103=8,$J$18,""))))))))</calculatedColumnFormula>
    </tableColumn>
    <tableColumn id="10" xr3:uid="{BAA4878E-6F4E-4E12-BA7B-4FDE216AC2E8}" name="CaCO3 prod (g) /thallus/yr" dataDxfId="891">
      <calculatedColumnFormula>IFERROR((H103*I103)*G103, "")</calculatedColumnFormula>
    </tableColumn>
    <tableColumn id="11" xr3:uid="{A501C59C-BD28-4E17-8413-B733934F138D}" name="g CaCO3/m2/yr" dataDxfId="890">
      <calculatedColumnFormula>IFERROR(J103*(1/$B$6),"")</calculatedColumnFormula>
    </tableColumn>
    <tableColumn id="12" xr3:uid="{FC6B7B63-F27C-4534-AF3A-D687711A2156}" name="kg CaCO3/m2/yr" dataDxfId="889">
      <calculatedColumnFormula>IFERROR(K103/1000,"")</calculatedColumnFormula>
    </tableColumn>
    <tableColumn id="13" xr3:uid="{B858FDB9-F2A2-46BD-912D-E371CD90C60E}" name="." dataDxfId="888"/>
    <tableColumn id="14" xr3:uid="{F701A6D6-6059-4973-8C52-C276A181BB9B}" name="Species 1" dataDxfId="887">
      <calculatedColumnFormula>IF($B103=1, $L103,"")</calculatedColumnFormula>
    </tableColumn>
    <tableColumn id="15" xr3:uid="{9ED9D536-4D47-496A-A833-1FA0100180D7}" name="Species 2" dataDxfId="886">
      <calculatedColumnFormula>IF($B103=2, $L103,"")</calculatedColumnFormula>
    </tableColumn>
    <tableColumn id="16" xr3:uid="{64F27102-93B0-4C39-9D84-E177A4E84817}" name="Species 3" dataDxfId="885">
      <calculatedColumnFormula>IF($B103=3, $L103,"")</calculatedColumnFormula>
    </tableColumn>
    <tableColumn id="17" xr3:uid="{ABB12880-C176-4C47-87A4-E40064F31E3F}" name="Species 4" dataDxfId="884">
      <calculatedColumnFormula>IF($B103=4, $L103,"")</calculatedColumnFormula>
    </tableColumn>
    <tableColumn id="18" xr3:uid="{228696FF-E52D-4446-B69C-E3532F7ACAD2}" name="Species 5" dataDxfId="883">
      <calculatedColumnFormula>IF($B103=5, $L103,"")</calculatedColumnFormula>
    </tableColumn>
    <tableColumn id="19" xr3:uid="{24ABDE17-927A-4789-BE22-078E7609A932}" name="Species 6" dataDxfId="882">
      <calculatedColumnFormula>IF($B103=6, $L103,"")</calculatedColumnFormula>
    </tableColumn>
    <tableColumn id="20" xr3:uid="{69CAD2CC-076D-499F-AA1E-C4DBBE34BB04}" name="Species 7" dataDxfId="881">
      <calculatedColumnFormula>IF($B103=7, $L103,"")</calculatedColumnFormula>
    </tableColumn>
    <tableColumn id="21" xr3:uid="{09C1BC6A-F6FD-4DDB-AC32-087104E871BB}" name="Species 8" dataDxfId="880">
      <calculatedColumnFormula>IF($B103=8, $L103,"")</calculatedColumnFormula>
    </tableColumn>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1F72C716-EC62-4DF0-B901-F846BB315BD4}" name="TableH6" displayName="TableH6" ref="A119:U129" totalsRowShown="0" headerRowDxfId="879" dataDxfId="878" tableBorderDxfId="877">
  <tableColumns count="21">
    <tableColumn id="1" xr3:uid="{CCF7CAEA-4A5E-4F73-9820-DB128963F411}" name="Quadrat #" dataDxfId="876">
      <calculatedColumnFormula>6</calculatedColumnFormula>
    </tableColumn>
    <tableColumn id="2" xr3:uid="{BE9C99E5-A704-4AA3-BF17-12FC766EE5B1}" name="Species / morphology code (select from above)" dataDxfId="875"/>
    <tableColumn id="3" xr3:uid="{BCC65E92-A400-4247-8AD5-03187C20D030}" name="height h (mm)" dataDxfId="874"/>
    <tableColumn id="4" xr3:uid="{53BBA203-85C2-4A4B-AF9F-894DC26EA53D}" name="width w (mm)" dataDxfId="873"/>
    <tableColumn id="5" xr3:uid="{07A3A340-FA7F-4899-A970-AE9EAF8586C7}" name="depth d (mm)" dataDxfId="872"/>
    <tableColumn id="6" xr3:uid="{311CE0DD-790B-4456-9488-DB3F89F676B9}" name="Total thallus volume (cm3)" dataDxfId="871">
      <calculatedColumnFormula>IF(B120="", "",
    IFERROR(
        IF(
            VLOOKUP(B120,HalimedaInitialMetrics,11,FALSE)="EC",
            ((PI()*(E120*0.5)*(D120*0.5)*C120)/3)/1000,
            IF(
                VLOOKUP(B120,HalimedaInitialMetrics,11,FALSE)="HE",
                ((PI()*(2/3)*(E120*0.5)*(D120*0.5)*C120))/1000,
                ""
            )
        ),
        ""
    )
)</calculatedColumnFormula>
    </tableColumn>
    <tableColumn id="7" xr3:uid="{0657492D-F763-4647-A42D-21A18571537A}" name="Crops per year" dataDxfId="870">
      <calculatedColumnFormula>IF(B120=1,$G$11,IF(B120=2,$G$12,IF(B120=3,$G$13,IF(B120=4,$G$14,IF(B120=5,$G$15,IF(B120=6,$G$16,IF(B120=7,$G$17,IF(B120=8,$G$18,""))))))))</calculatedColumnFormula>
    </tableColumn>
    <tableColumn id="8" xr3:uid="{16279755-754C-40F1-BF22-B0879CCAFD52}" name="Calculated # segments" dataDxfId="869">
      <calculatedColumnFormula>IF(B120=1,F120*D$11,IF(B120=2,F120*D$12,IF(B120=3,F120*D$13,IF(B120=4,F120*D$14,IF(B120=5,F120*D$15,IF(B120=6,F120*D$16,IF(B120=7,F120*D$17,IF(B120=8,F120*D$18,""))))))))</calculatedColumnFormula>
    </tableColumn>
    <tableColumn id="9" xr3:uid="{61CDBC2F-3C10-4614-99B1-6B04E646AAC4}" name="CaCO3 content/segment" dataDxfId="868">
      <calculatedColumnFormula>IF(B120=1,$J$11,IF(B120=2,$J$12,IF(B120=3,$J$13,IF(B120=4,$J$14,IF(B120=5,$J$15,IF(B120=6,$J$16,IF(B120=7,$J$17,IF(B120=8,$J$18,""))))))))</calculatedColumnFormula>
    </tableColumn>
    <tableColumn id="10" xr3:uid="{2A558384-71FF-4C68-9CD8-79E6C44A63AA}" name="CaCO3 prod (g) /thallus/yr" dataDxfId="867">
      <calculatedColumnFormula>IFERROR((H120*I120)*G120, "")</calculatedColumnFormula>
    </tableColumn>
    <tableColumn id="11" xr3:uid="{F1A8A14F-782E-4737-9A7F-4ABBE6BCEB20}" name="g CaCO3/m2/yr" dataDxfId="866">
      <calculatedColumnFormula>IFERROR(J120*(1/$B$6),"")</calculatedColumnFormula>
    </tableColumn>
    <tableColumn id="12" xr3:uid="{07ADF141-DD05-4E0F-8ACC-AAEEE542EB3A}" name="kg CaCO3/m2/yr" dataDxfId="865">
      <calculatedColumnFormula>IFERROR(K120/1000,"")</calculatedColumnFormula>
    </tableColumn>
    <tableColumn id="13" xr3:uid="{A36DA5EA-D081-4807-A3AE-216249EDF139}" name="." dataDxfId="864"/>
    <tableColumn id="14" xr3:uid="{0898586F-CDCB-4F9E-9E38-8C97CF81709A}" name="Species 1" dataDxfId="863">
      <calculatedColumnFormula>IF($B120=1, $L120,"")</calculatedColumnFormula>
    </tableColumn>
    <tableColumn id="15" xr3:uid="{A519B504-3841-4E36-B8C3-D655A993923D}" name="Species 2" dataDxfId="862">
      <calculatedColumnFormula>IF($B120=2, $L120,"")</calculatedColumnFormula>
    </tableColumn>
    <tableColumn id="16" xr3:uid="{F6094F4E-3911-4261-859D-D7F4884E5FDA}" name="Species 3" dataDxfId="861">
      <calculatedColumnFormula>IF($B120=3, $L120,"")</calculatedColumnFormula>
    </tableColumn>
    <tableColumn id="17" xr3:uid="{83A4FDD7-32D6-47D6-8D47-AB3428D3BC8D}" name="Species 4" dataDxfId="860">
      <calculatedColumnFormula>IF($B120=4, $L120,"")</calculatedColumnFormula>
    </tableColumn>
    <tableColumn id="18" xr3:uid="{9F511B3D-A0D6-4CC3-9D92-8544309AA0EA}" name="Species 5" dataDxfId="859">
      <calculatedColumnFormula>IF($B120=5, $L120,"")</calculatedColumnFormula>
    </tableColumn>
    <tableColumn id="19" xr3:uid="{89BFAB25-71DE-4C59-BA60-94CCAAA003F4}" name="Species 6" dataDxfId="858">
      <calculatedColumnFormula>IF($B120=6, $L120,"")</calculatedColumnFormula>
    </tableColumn>
    <tableColumn id="20" xr3:uid="{B4B77025-D73E-4263-8905-D5EAAF35D3CE}" name="Species 7" dataDxfId="857">
      <calculatedColumnFormula>IF($B120=7, $L120,"")</calculatedColumnFormula>
    </tableColumn>
    <tableColumn id="21" xr3:uid="{FD422547-A387-4CBD-B21B-16E5DA3D5B0B}" name="Species 8" dataDxfId="856">
      <calculatedColumnFormula>IF($B120=8, $L120,"")</calculatedColumnFormula>
    </tableColumn>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13293A6D-83B6-42E6-91B2-BC50E166D993}" name="TableH7" displayName="TableH7" ref="A136:U146" totalsRowShown="0" headerRowDxfId="855" dataDxfId="854" tableBorderDxfId="853">
  <tableColumns count="21">
    <tableColumn id="1" xr3:uid="{A4232A61-B1F3-4590-A033-E0ED0E7A5E79}" name="Quadrat #" dataDxfId="852">
      <calculatedColumnFormula>7</calculatedColumnFormula>
    </tableColumn>
    <tableColumn id="2" xr3:uid="{2E727DCB-76E8-478F-BEBB-207A559170C2}" name="Species / morphology code (select from above)" dataDxfId="851"/>
    <tableColumn id="3" xr3:uid="{ADFDF880-42D5-49C9-96FB-0C352966690D}" name="height h (mm)" dataDxfId="850"/>
    <tableColumn id="4" xr3:uid="{C02986B0-FA12-4AF6-AD39-627DBC6BED23}" name="width w (mm)" dataDxfId="849"/>
    <tableColumn id="5" xr3:uid="{45F8D2B4-3E62-42EB-92FD-E4F6225C4BA7}" name="depth d (mm)" dataDxfId="848"/>
    <tableColumn id="6" xr3:uid="{5800E380-C2F4-410F-A56A-F785E22BBC1B}" name="Total thallus volume (cm3)" dataDxfId="847">
      <calculatedColumnFormula>IF(B137="", "",
    IFERROR(
        IF(
            VLOOKUP(B137,HalimedaInitialMetrics,11,FALSE)="EC",
            ((PI()*(E137*0.5)*(D137*0.5)*C137)/3)/1000,
            IF(
                VLOOKUP(B137,HalimedaInitialMetrics,11,FALSE)="HE",
                ((PI()*(2/3)*(E137*0.5)*(D137*0.5)*C137))/1000,
                ""
            )
        ),
        ""
    )
)</calculatedColumnFormula>
    </tableColumn>
    <tableColumn id="7" xr3:uid="{5C2EBB09-4B95-4326-A1CC-DF7C252E7F49}" name="Crops per year" dataDxfId="846">
      <calculatedColumnFormula>IF(B137=1,$G$11,IF(B137=2,$G$12,IF(B137=3,$G$13,IF(B137=4,$G$14,IF(B137=5,$G$15,IF(B137=6,$G$16,IF(B137=7,$G$17,IF(B137=8,$G$18,""))))))))</calculatedColumnFormula>
    </tableColumn>
    <tableColumn id="8" xr3:uid="{7D9B4A78-5278-4BDF-BCF6-F46749F14404}" name="Calculated # segments" dataDxfId="845">
      <calculatedColumnFormula>IF(B137=1,F137*D$11,IF(B137=2,F137*D$12,IF(B137=3,F137*D$13,IF(B137=4,F137*D$14,IF(B137=5,F137*D$15,IF(B137=6,F137*D$16,IF(B137=7,F137*D$17,IF(B137=8,F137*D$18,""))))))))</calculatedColumnFormula>
    </tableColumn>
    <tableColumn id="9" xr3:uid="{E5BD2764-A457-4AD3-A169-19F606C8AB1A}" name="CaCO3 content/segment" dataDxfId="844">
      <calculatedColumnFormula>IF(B137=1,$J$11,IF(B137=2,$J$12,IF(B137=3,$J$13,IF(B137=4,$J$14,IF(B137=5,$J$15,IF(B137=6,$J$16,IF(B137=7,$J$17,IF(B137=8,$J$18,""))))))))</calculatedColumnFormula>
    </tableColumn>
    <tableColumn id="10" xr3:uid="{88561C53-6C4B-4C61-B65F-2DD008DF0620}" name="CaCO3 prod (g) /thallus/yr" dataDxfId="843">
      <calculatedColumnFormula>IFERROR((H137*I137)*G137, "")</calculatedColumnFormula>
    </tableColumn>
    <tableColumn id="11" xr3:uid="{4369CF37-0068-4119-83DF-9D8FA4B4854E}" name="g CaCO3/m2/yr" dataDxfId="842">
      <calculatedColumnFormula>IFERROR(J137*(1/$B$6),"")</calculatedColumnFormula>
    </tableColumn>
    <tableColumn id="12" xr3:uid="{5195BB2E-EC04-4220-A67B-A317DC210469}" name="kg CaCO3/m2/yr" dataDxfId="841">
      <calculatedColumnFormula>IFERROR(K137/1000,"")</calculatedColumnFormula>
    </tableColumn>
    <tableColumn id="13" xr3:uid="{037119AF-13FB-481B-9AFA-8DD5C2FAE174}" name="." dataDxfId="840"/>
    <tableColumn id="14" xr3:uid="{4DF4F44C-1E60-49D5-B34E-39B479928225}" name="Species 1" dataDxfId="839">
      <calculatedColumnFormula>IF($B137=1, $L137,"")</calculatedColumnFormula>
    </tableColumn>
    <tableColumn id="15" xr3:uid="{E03FC8F2-FEAB-46B0-89B6-86A7829ED9FB}" name="Species 2" dataDxfId="838">
      <calculatedColumnFormula>IF($B137=2, $L137,"")</calculatedColumnFormula>
    </tableColumn>
    <tableColumn id="16" xr3:uid="{4A505A7C-8AEC-4A8C-96B2-0974F025D2CC}" name="Species 3" dataDxfId="837">
      <calculatedColumnFormula>IF($B137=3, $L137,"")</calculatedColumnFormula>
    </tableColumn>
    <tableColumn id="17" xr3:uid="{F8D95322-17B8-47CB-8418-724F48CCF4F3}" name="Species 4" dataDxfId="836">
      <calculatedColumnFormula>IF($B137=4, $L137,"")</calculatedColumnFormula>
    </tableColumn>
    <tableColumn id="18" xr3:uid="{F6981C17-5D5E-41BE-8894-1CDCE9A511C5}" name="Species 5" dataDxfId="835">
      <calculatedColumnFormula>IF($B137=5, $L137,"")</calculatedColumnFormula>
    </tableColumn>
    <tableColumn id="19" xr3:uid="{B3004874-CD62-4B02-86A6-B030FD3E41EF}" name="Species 6" dataDxfId="834">
      <calculatedColumnFormula>IF($B137=6, $L137,"")</calculatedColumnFormula>
    </tableColumn>
    <tableColumn id="20" xr3:uid="{543B8037-9A38-4B90-9B23-CF3721ABBF56}" name="Species 7" dataDxfId="833">
      <calculatedColumnFormula>IF($B137=7, $L137,"")</calculatedColumnFormula>
    </tableColumn>
    <tableColumn id="21" xr3:uid="{0570C596-4383-44B9-93DC-9163A57DEE5F}" name="Species 8" dataDxfId="832">
      <calculatedColumnFormula>IF($B137=8, $L137,"")</calculatedColumnFormula>
    </tableColumn>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2A454C11-16A4-457A-B637-F035388E2218}" name="TableH8" displayName="TableH8" ref="A153:U163" totalsRowShown="0" headerRowDxfId="831" dataDxfId="830" tableBorderDxfId="829">
  <tableColumns count="21">
    <tableColumn id="1" xr3:uid="{DB0533A8-024D-4477-A347-515FDBA47B93}" name="Quadrat #" dataDxfId="828">
      <calculatedColumnFormula>8</calculatedColumnFormula>
    </tableColumn>
    <tableColumn id="2" xr3:uid="{F27EBC9D-E8ED-4BD6-BCC6-9B42ADE86ABA}" name="Species / morphology code (select from above)" dataDxfId="827"/>
    <tableColumn id="3" xr3:uid="{D96EC025-6379-4BDA-B68F-1CDA43EF1A9D}" name="height h (mm)" dataDxfId="826"/>
    <tableColumn id="4" xr3:uid="{C1610580-710D-4E46-AA94-D1E9B26A6077}" name="width w (mm)" dataDxfId="825"/>
    <tableColumn id="5" xr3:uid="{A42DB379-B065-48B4-83FE-0D50C7B53C14}" name="depth d (mm)" dataDxfId="824"/>
    <tableColumn id="6" xr3:uid="{6EDC363C-05B4-4C7D-A577-ACF86760F23E}" name="Total thallus volume (cm3)" dataDxfId="823">
      <calculatedColumnFormula>IF(B154="", "",
    IFERROR(
        IF(
            VLOOKUP(B154,HalimedaInitialMetrics,11,FALSE)="EC",
            ((PI()*(E154*0.5)*(D154*0.5)*C154)/3)/1000,
            IF(
                VLOOKUP(B154,HalimedaInitialMetrics,11,FALSE)="HE",
                ((PI()*(2/3)*(E154*0.5)*(D154*0.5)*C154))/1000,
                ""
            )
        ),
        ""
    )
)</calculatedColumnFormula>
    </tableColumn>
    <tableColumn id="7" xr3:uid="{777DA531-44B1-4C96-8221-A8E521CE6CE1}" name="Crops per year" dataDxfId="822">
      <calculatedColumnFormula>IF(B154=1,$G$11,IF(B154=2,$G$12,IF(B154=3,$G$13,IF(B154=4,$G$14,IF(B154=5,$G$15,IF(B154=6,$G$16,IF(B154=7,$G$17,IF(B154=8,$G$18,""))))))))</calculatedColumnFormula>
    </tableColumn>
    <tableColumn id="8" xr3:uid="{36764C9C-C585-4E96-9049-65D6593546A9}" name="Calculated # segments" dataDxfId="821">
      <calculatedColumnFormula>IF(B154=1,F154*D$11,IF(B154=2,F154*D$12,IF(B154=3,F154*D$13,IF(B154=4,F154*D$14,IF(B154=5,F154*D$15,IF(B154=6,F154*D$16,IF(B154=7,F154*D$17,IF(B154=8,F154*D$18,""))))))))</calculatedColumnFormula>
    </tableColumn>
    <tableColumn id="9" xr3:uid="{076B698D-453B-4011-A1D4-255AF28400AC}" name="CaCO3 content/segment" dataDxfId="820">
      <calculatedColumnFormula>IF(B154=1,$J$11,IF(B154=2,$J$12,IF(B154=3,$J$13,IF(B154=4,$J$14,IF(B154=5,$J$15,IF(B154=6,$J$16,IF(B154=7,$J$17,IF(B154=8,$J$18,""))))))))</calculatedColumnFormula>
    </tableColumn>
    <tableColumn id="10" xr3:uid="{DDED940D-B253-4A14-907D-F1B27FDA5A13}" name="CaCO3 prod (g) /thallus/yr" dataDxfId="819">
      <calculatedColumnFormula>IFERROR((H154*I154)*G154, "")</calculatedColumnFormula>
    </tableColumn>
    <tableColumn id="11" xr3:uid="{5181A108-BFBC-4F49-9118-161278673941}" name="g CaCO3/m2/yr" dataDxfId="818">
      <calculatedColumnFormula>IFERROR(J154*(1/$B$6),"")</calculatedColumnFormula>
    </tableColumn>
    <tableColumn id="12" xr3:uid="{951BA6BE-B7F7-425D-8B18-F152C4132FEA}" name="kg CaCO3/m2/yr" dataDxfId="817">
      <calculatedColumnFormula>IFERROR(K154/1000,"")</calculatedColumnFormula>
    </tableColumn>
    <tableColumn id="13" xr3:uid="{0EBA83D8-F146-4A91-83A7-5E4D29308DD5}" name="." dataDxfId="816"/>
    <tableColumn id="14" xr3:uid="{E3FAC3EE-0A8F-44B6-BDD9-3585D9A9E366}" name="Species 1" dataDxfId="815">
      <calculatedColumnFormula>IF($B154=1, $L154,"")</calculatedColumnFormula>
    </tableColumn>
    <tableColumn id="15" xr3:uid="{CFCDF975-37EC-4E7E-9BBF-2EA103D5891E}" name="Species 2" dataDxfId="814">
      <calculatedColumnFormula>IF($B154=2, $L154,"")</calculatedColumnFormula>
    </tableColumn>
    <tableColumn id="16" xr3:uid="{F01DD036-7F5A-4D24-A893-3968073112CC}" name="Species 3" dataDxfId="813">
      <calculatedColumnFormula>IF($B154=3, $L154,"")</calculatedColumnFormula>
    </tableColumn>
    <tableColumn id="17" xr3:uid="{FDBD4FD7-EEE7-47C0-847B-A97879A6571B}" name="Species 4" dataDxfId="812">
      <calculatedColumnFormula>IF($B154=4, $L154,"")</calculatedColumnFormula>
    </tableColumn>
    <tableColumn id="18" xr3:uid="{17AB215A-5D89-48A5-B05A-6746BB3754A0}" name="Species 5" dataDxfId="811">
      <calculatedColumnFormula>IF($B154=5, $L154,"")</calculatedColumnFormula>
    </tableColumn>
    <tableColumn id="19" xr3:uid="{87B77C89-C248-4A30-A047-3E79D1EB463E}" name="Species 6" dataDxfId="810">
      <calculatedColumnFormula>IF($B154=6, $L154,"")</calculatedColumnFormula>
    </tableColumn>
    <tableColumn id="20" xr3:uid="{B92B255C-EEAD-41FC-BA8A-59F34CCE4B86}" name="Species 7" dataDxfId="809">
      <calculatedColumnFormula>IF($B154=7, $L154,"")</calculatedColumnFormula>
    </tableColumn>
    <tableColumn id="21" xr3:uid="{CAA92A7C-0172-49F6-9DDA-7C5BB5136274}" name="Species 8" dataDxfId="808">
      <calculatedColumnFormula>IF($B154=8, $L154,"")</calculatedColumnFormula>
    </tableColumn>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ECD190ED-AFC5-4753-B4F7-BABAD2E623C3}" name="TableH9" displayName="TableH9" ref="A170:U180" totalsRowShown="0" headerRowDxfId="807" dataDxfId="806" tableBorderDxfId="805">
  <tableColumns count="21">
    <tableColumn id="1" xr3:uid="{7072D851-332E-4CCD-BF57-B6E1EF0D8A03}" name="Quadrat #" dataDxfId="804">
      <calculatedColumnFormula>9</calculatedColumnFormula>
    </tableColumn>
    <tableColumn id="2" xr3:uid="{8F0CFDCD-75EE-4FA7-A728-BF026CB6015D}" name="Species / morphology code (select from above)" dataDxfId="803"/>
    <tableColumn id="3" xr3:uid="{A9802E9B-774D-404E-9155-28FC0C117A0D}" name="height h (mm)" dataDxfId="802"/>
    <tableColumn id="4" xr3:uid="{3156C201-7E1C-455E-B040-185C747D2F4D}" name="width w (mm)" dataDxfId="801"/>
    <tableColumn id="5" xr3:uid="{EF3ECA39-BEEA-4D9B-97BF-1D0135D48A90}" name="depth d (mm)" dataDxfId="800"/>
    <tableColumn id="6" xr3:uid="{5570A58D-DFE9-433C-8175-07321F389E56}" name="Total thallus volume (cm3)" dataDxfId="799">
      <calculatedColumnFormula>IF(B171="", "",
    IFERROR(
        IF(
            VLOOKUP(B171,HalimedaInitialMetrics,11,FALSE)="EC",
            ((PI()*(E171*0.5)*(D171*0.5)*C171)/3)/1000,
            IF(
                VLOOKUP(B171,HalimedaInitialMetrics,11,FALSE)="HE",
                ((PI()*(2/3)*(E171*0.5)*(D171*0.5)*C171))/1000,
                ""
            )
        ),
        ""
    )
)</calculatedColumnFormula>
    </tableColumn>
    <tableColumn id="7" xr3:uid="{353C5193-AD99-44A6-AEAA-CCCCBBF149E9}" name="Crops per year" dataDxfId="798">
      <calculatedColumnFormula>IF(B171=1,$G$11,IF(B171=2,$G$12,IF(B171=3,$G$13,IF(B171=4,$G$14,IF(B171=5,$G$15,IF(B171=6,$G$16,IF(B171=7,$G$17,IF(B171=8,$G$18,""))))))))</calculatedColumnFormula>
    </tableColumn>
    <tableColumn id="8" xr3:uid="{A73450BF-00C1-4E6C-A28F-2B6B975D4A74}" name="Calculated # segments" dataDxfId="797">
      <calculatedColumnFormula>IF(B171=1,F171*D$11,IF(B171=2,F171*D$12,IF(B171=3,F171*D$13,IF(B171=4,F171*D$14,IF(B171=5,F171*D$15,IF(B171=6,F171*D$16,IF(B171=7,F171*D$17,IF(B171=8,F171*D$18,""))))))))</calculatedColumnFormula>
    </tableColumn>
    <tableColumn id="9" xr3:uid="{62D4E75A-9D5A-4F3F-AC5A-6804DA8DA847}" name="CaCO3 content/segment" dataDxfId="796">
      <calculatedColumnFormula>IF(B171=1,$J$11,IF(B171=2,$J$12,IF(B171=3,$J$13,IF(B171=4,$J$14,IF(B171=5,$J$15,IF(B171=6,$J$16,IF(B171=7,$J$17,IF(B171=8,$J$18,""))))))))</calculatedColumnFormula>
    </tableColumn>
    <tableColumn id="10" xr3:uid="{7FE5CD1E-7A3B-4803-AC35-4F2B99D5CDBB}" name="CaCO3 prod (g) /thallus/yr" dataDxfId="795">
      <calculatedColumnFormula>IFERROR((H171*I171)*G171, "")</calculatedColumnFormula>
    </tableColumn>
    <tableColumn id="11" xr3:uid="{93E2FC01-3DD0-4129-934B-FFB6E4CC4811}" name="g CaCO3/m2/yr" dataDxfId="794">
      <calculatedColumnFormula>IFERROR(J171*(1/$B$6),"")</calculatedColumnFormula>
    </tableColumn>
    <tableColumn id="12" xr3:uid="{9B06DA26-C90F-4D33-BAAC-CFF8762C5866}" name="kg CaCO3/m2/yr" dataDxfId="793">
      <calculatedColumnFormula>IFERROR(K171/1000,"")</calculatedColumnFormula>
    </tableColumn>
    <tableColumn id="13" xr3:uid="{91F08331-C5D8-4FA3-B0F8-FCC24F1B0E56}" name="." dataDxfId="792"/>
    <tableColumn id="14" xr3:uid="{770EF7E9-FC2A-4CA1-A444-04B48CB27A83}" name="Species 1" dataDxfId="791">
      <calculatedColumnFormula>IF($B171=1, $L171,"")</calculatedColumnFormula>
    </tableColumn>
    <tableColumn id="15" xr3:uid="{2BD22629-1438-4983-B0D7-E677BA53D123}" name="Species 2" dataDxfId="790">
      <calculatedColumnFormula>IF($B171=2, $L171,"")</calculatedColumnFormula>
    </tableColumn>
    <tableColumn id="16" xr3:uid="{6358AE74-0D4C-457A-B978-B38457C3FB21}" name="Species 3" dataDxfId="789">
      <calculatedColumnFormula>IF($B171=3, $L171,"")</calculatedColumnFormula>
    </tableColumn>
    <tableColumn id="17" xr3:uid="{BA9F4CBA-AFA3-4CAB-B5EC-783C8DF242D2}" name="Species 4" dataDxfId="788">
      <calculatedColumnFormula>IF($B171=4, $L171,"")</calculatedColumnFormula>
    </tableColumn>
    <tableColumn id="18" xr3:uid="{FC1F50D2-47B1-4AC0-9466-A9F9371E4C33}" name="Species 5" dataDxfId="787">
      <calculatedColumnFormula>IF($B171=5, $L171,"")</calculatedColumnFormula>
    </tableColumn>
    <tableColumn id="19" xr3:uid="{2EE1D418-A8CA-4DF3-8793-BCA33EF9F54D}" name="Species 6" dataDxfId="786">
      <calculatedColumnFormula>IF($B171=6, $L171,"")</calculatedColumnFormula>
    </tableColumn>
    <tableColumn id="20" xr3:uid="{1FB8424E-B9BF-4062-A58B-B6346FBDB4E9}" name="Species 7" dataDxfId="785">
      <calculatedColumnFormula>IF($B171=7, $L171,"")</calculatedColumnFormula>
    </tableColumn>
    <tableColumn id="21" xr3:uid="{4124ED5D-FD56-44EC-8334-F9883ABD4F79}" name="Species 8" dataDxfId="784">
      <calculatedColumnFormula>IF($B171=8, $L171,"")</calculatedColumnFormula>
    </tableColumn>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47FE2CFB-EDB2-4E90-83DA-45F69A786CF8}" name="TableH10" displayName="TableH10" ref="A187:U197" totalsRowShown="0" headerRowDxfId="783" dataDxfId="782" tableBorderDxfId="781">
  <tableColumns count="21">
    <tableColumn id="1" xr3:uid="{01D64ED1-5912-4E7B-9FD7-A1B74229B508}" name="Quadrat #" dataDxfId="780">
      <calculatedColumnFormula>10</calculatedColumnFormula>
    </tableColumn>
    <tableColumn id="2" xr3:uid="{3257A84B-282E-4337-83E9-718ACF7B0DBB}" name="Species / morphology code (select from above)" dataDxfId="779"/>
    <tableColumn id="3" xr3:uid="{DCCDFE27-2E86-41FC-9734-46DD79957E69}" name="height h (mm)" dataDxfId="778"/>
    <tableColumn id="4" xr3:uid="{0334648F-CDB7-416B-8F91-AC9F8A2C9E15}" name="width w (mm)" dataDxfId="777"/>
    <tableColumn id="5" xr3:uid="{FD5E9122-2A76-416B-A378-490365F23ED4}" name="depth d (mm)" dataDxfId="776"/>
    <tableColumn id="6" xr3:uid="{4D5C5AA9-9067-4ED1-B7C3-CAC98213D4DB}" name="Total thallus volume (cm3)" dataDxfId="775">
      <calculatedColumnFormula>IF(B188="", "",
    IFERROR(
        IF(
            VLOOKUP(B188,HalimedaInitialMetrics,11,FALSE)="EC",
            ((PI()*(E188*0.5)*(D188*0.5)*C188)/3)/1000,
            IF(
                VLOOKUP(B188,HalimedaInitialMetrics,11,FALSE)="HE",
                ((PI()*(2/3)*(E188*0.5)*(D188*0.5)*C188))/1000,
                ""
            )
        ),
        ""
    )
)</calculatedColumnFormula>
    </tableColumn>
    <tableColumn id="7" xr3:uid="{969F421C-A53E-46DB-B15C-78F14A3F20E8}" name="Crops per year" dataDxfId="774">
      <calculatedColumnFormula>IF(B188=1,$G$11,IF(B188=2,$G$12,IF(B188=3,$G$13,IF(B188=4,$G$14,IF(B188=5,$G$15,IF(B188=6,$G$16,IF(B188=7,$G$17,IF(B188=8,$G$18,""))))))))</calculatedColumnFormula>
    </tableColumn>
    <tableColumn id="8" xr3:uid="{EED1D4B9-BC75-4D17-B93E-4A8DEB5127A5}" name="Calculated # segments" dataDxfId="773">
      <calculatedColumnFormula>IF(B188=1,F188*D$11,IF(B188=2,F188*D$12,IF(B188=3,F188*D$13,IF(B188=4,F188*D$14,IF(B188=5,F188*D$15,IF(B188=6,F188*D$16,IF(B188=7,F188*D$17,IF(B188=8,F188*D$18,""))))))))</calculatedColumnFormula>
    </tableColumn>
    <tableColumn id="9" xr3:uid="{6CB309B8-44EE-44EB-AD97-DC4545B28076}" name="CaCO3 content/segment" dataDxfId="772">
      <calculatedColumnFormula>IF(B188=1,$J$11,IF(B188=2,$J$12,IF(B188=3,$J$13,IF(B188=4,$J$14,IF(B188=5,$J$15,IF(B188=6,$J$16,IF(B188=7,$J$17,IF(B188=8,$J$18,""))))))))</calculatedColumnFormula>
    </tableColumn>
    <tableColumn id="10" xr3:uid="{431EF761-3E83-4441-A4D5-437B43148166}" name="CaCO3 prod (g) /thallus/yr" dataDxfId="771">
      <calculatedColumnFormula>IFERROR((H188*I188)*G188, "")</calculatedColumnFormula>
    </tableColumn>
    <tableColumn id="11" xr3:uid="{4E473E13-7AB5-48D1-9083-1DA48F683989}" name="g CaCO3/m2/yr" dataDxfId="770">
      <calculatedColumnFormula>IFERROR(J188*(1/$B$6),"")</calculatedColumnFormula>
    </tableColumn>
    <tableColumn id="12" xr3:uid="{6F9812D1-0C9D-4E03-AA43-EA5F1950CC0B}" name="kg CaCO3/m2/yr" dataDxfId="769">
      <calculatedColumnFormula>IFERROR(K188/1000,"")</calculatedColumnFormula>
    </tableColumn>
    <tableColumn id="13" xr3:uid="{AD4C344F-AFF8-4AF4-BDE5-A63066918EF7}" name="." dataDxfId="768"/>
    <tableColumn id="14" xr3:uid="{F979D238-D6E6-4450-92D8-10B0546A0D0D}" name="Species 1" dataDxfId="767">
      <calculatedColumnFormula>IF($B188=1, $L188,"")</calculatedColumnFormula>
    </tableColumn>
    <tableColumn id="15" xr3:uid="{BB4274D5-3EBB-4B3E-8876-5D511847C5E6}" name="Species 2" dataDxfId="766">
      <calculatedColumnFormula>IF($B188=2, $L188,"")</calculatedColumnFormula>
    </tableColumn>
    <tableColumn id="16" xr3:uid="{D32F1219-FBBF-4328-9170-05CF046ED335}" name="Species 3" dataDxfId="765">
      <calculatedColumnFormula>IF($B188=3, $L188,"")</calculatedColumnFormula>
    </tableColumn>
    <tableColumn id="17" xr3:uid="{37AD0D06-BE54-4E51-AC22-9282ACC21B8C}" name="Species 4" dataDxfId="764">
      <calculatedColumnFormula>IF($B188=4, $L188,"")</calculatedColumnFormula>
    </tableColumn>
    <tableColumn id="18" xr3:uid="{D2DA7044-BAA1-426F-8D0B-74AF5302A8D0}" name="Species 5" dataDxfId="763">
      <calculatedColumnFormula>IF($B188=5, $L188,"")</calculatedColumnFormula>
    </tableColumn>
    <tableColumn id="19" xr3:uid="{85ED937B-B2C4-46F7-9D21-D37CB98B4AC6}" name="Species 6" dataDxfId="762">
      <calculatedColumnFormula>IF($B188=6, $L188,"")</calculatedColumnFormula>
    </tableColumn>
    <tableColumn id="20" xr3:uid="{FE2D7D7D-ED57-4013-9BDA-F8B7AF029412}" name="Species 7" dataDxfId="761">
      <calculatedColumnFormula>IF($B188=7, $L188,"")</calculatedColumnFormula>
    </tableColumn>
    <tableColumn id="21" xr3:uid="{FBBDE0E6-D8DD-4B41-92B4-07969C82689A}" name="Species 8" dataDxfId="760">
      <calculatedColumnFormula>IF($B188=8, $L188,"")</calculatedColumnFormula>
    </tableColumn>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37FF601C-4894-495C-B2B9-7253E1E1D7D7}" name="TableP1" displayName="TableP1" ref="A26:U36" totalsRowShown="0" headerRowDxfId="759" dataDxfId="758" tableBorderDxfId="757">
  <tableColumns count="21">
    <tableColumn id="1" xr3:uid="{77014751-E178-4C7C-AF00-0A4AF6A89FFD}" name="Quadrat #" dataDxfId="756">
      <calculatedColumnFormula>1</calculatedColumnFormula>
    </tableColumn>
    <tableColumn id="2" xr3:uid="{E97E9416-95DE-4BA8-A8D3-B998E186D2B5}" name="Species / morphology code (select from above)" dataDxfId="755"/>
    <tableColumn id="3" xr3:uid="{9247F562-8C7D-4015-A234-263A09DBBF02}" name="height s (mm)" dataDxfId="754"/>
    <tableColumn id="4" xr3:uid="{37A8D134-0B13-4B03-AFA2-F5B8CC2B79F6}" name="width s (mm)" dataDxfId="753"/>
    <tableColumn id="5" xr3:uid="{9639D36F-E323-4307-9797-9AE8D1933D21}" name="height h (mm)" dataDxfId="752"/>
    <tableColumn id="6" xr3:uid="{B1FBB2A2-AC11-4C2B-A349-135E7DCFF72D}" name="width w (mm)" dataDxfId="751"/>
    <tableColumn id="7" xr3:uid="{939F4962-3D91-4A9D-B137-CCD77E9D4368}" name="depth d (mm)" dataDxfId="750"/>
    <tableColumn id="8" xr3:uid="{68CE0A8E-D892-4D65-AEA6-8AC68C02419D}" name="Radius stem (mm)" dataDxfId="749">
      <calculatedColumnFormula>D27*0.5</calculatedColumnFormula>
    </tableColumn>
    <tableColumn id="9" xr3:uid="{5FB2C62C-86EB-48DD-AA04-66AED3EE50C2}" name="Volume of stem cylinder (cm3)" dataDxfId="748">
      <calculatedColumnFormula>(PI()*(H27*H27)*C27)/1000</calculatedColumnFormula>
    </tableColumn>
    <tableColumn id="10" xr3:uid="{61D1097F-9BCA-4EBD-88BE-B939BC0CCB98}" name="Volume of cone (cm3)" dataDxfId="747">
      <calculatedColumnFormula>((PI()*(F27*0.5)*(G27*0.5)*E27)/3)/1000</calculatedColumnFormula>
    </tableColumn>
    <tableColumn id="11" xr3:uid="{D455A028-5F55-4A16-B8D8-4A2DCE88640D}" name="Total thallus volume (cm3)" dataDxfId="746">
      <calculatedColumnFormula>I27+J27</calculatedColumnFormula>
    </tableColumn>
    <tableColumn id="12" xr3:uid="{80E1C1FC-BEB9-4E70-AA28-7CFE973780C0}" name="Crops per year" dataDxfId="745">
      <calculatedColumnFormula>IF(B27=1,$G$11,IF(B27=2,$G$12,IF(B27=3,$G$13,IF(B27=4,$G$14,))))</calculatedColumnFormula>
    </tableColumn>
    <tableColumn id="13" xr3:uid="{4F950CA7-2B95-4089-976E-186E65B23E7C}" name="CaCO3 (g) v volume relationship" dataDxfId="744">
      <calculatedColumnFormula>IF(B27=1,$D$11,IF(B27=2,$D$12,IF(B27=3,$D$13,IF(B27=4,$D$14,))))</calculatedColumnFormula>
    </tableColumn>
    <tableColumn id="14" xr3:uid="{5675E4F7-0129-4A84-80E7-E5A1D1B827CB}" name="CaCO3 prod (g) /thallus/yr" dataDxfId="743">
      <calculatedColumnFormula>(K27*M27)*L27</calculatedColumnFormula>
    </tableColumn>
    <tableColumn id="15" xr3:uid="{71600F82-2141-4C27-958A-693060CF8E8F}" name="g CaCO3/m2/yr" dataDxfId="742">
      <calculatedColumnFormula>N27*(1/$B$6)</calculatedColumnFormula>
    </tableColumn>
    <tableColumn id="16" xr3:uid="{D280C6F1-4274-4142-A704-2192E9ED4634}" name="kg CaCO3/m2/yr" dataDxfId="741">
      <calculatedColumnFormula>O27/1000</calculatedColumnFormula>
    </tableColumn>
    <tableColumn id="17" xr3:uid="{C222FCF7-0795-43ED-95AB-5B4D8A9E77FD}" name="." dataDxfId="740"/>
    <tableColumn id="18" xr3:uid="{89248419-97E0-4217-8B20-B23318127A0B}" name="Species 1" dataDxfId="739">
      <calculatedColumnFormula>IF(B27=1, P27,"")</calculatedColumnFormula>
    </tableColumn>
    <tableColumn id="19" xr3:uid="{F2D541A9-BF36-4A0A-9FA2-C97BF65991D7}" name="Species 2" dataDxfId="738">
      <calculatedColumnFormula>IF(B27=2, P27,"")</calculatedColumnFormula>
    </tableColumn>
    <tableColumn id="20" xr3:uid="{E9C5C5E3-90CC-403B-89E1-03C8B414A813}" name="Species 3" dataDxfId="737">
      <calculatedColumnFormula>IF(B27=3, P27,"")</calculatedColumnFormula>
    </tableColumn>
    <tableColumn id="21" xr3:uid="{9B06F761-B922-421E-8223-125D42FACE07}" name="Species 4" dataDxfId="736">
      <calculatedColumnFormula>IF(B27=4, P27,"")</calculatedColumnFormula>
    </tableColumn>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9EB97469-7C93-43FA-A351-63E895D5733B}" name="TableP2" displayName="TableP2" ref="A43:U53" totalsRowShown="0" headerRowDxfId="735" dataDxfId="734" tableBorderDxfId="733">
  <tableColumns count="21">
    <tableColumn id="1" xr3:uid="{C7DAD3D8-D8BC-451D-BB6B-9DA8057BD869}" name="Quadrat #" dataDxfId="732">
      <calculatedColumnFormula>2</calculatedColumnFormula>
    </tableColumn>
    <tableColumn id="2" xr3:uid="{E73E937D-BA3A-4ECC-8940-155A8BE69DC9}" name="Species / morphology code (select from above)" dataDxfId="731"/>
    <tableColumn id="3" xr3:uid="{A90CFC41-697A-46F8-A163-75AAE7D315ED}" name="height s (mm)" dataDxfId="730"/>
    <tableColumn id="4" xr3:uid="{A3CF1C43-BBC1-43BF-A92E-6F493F1CFF20}" name="width s (mm)" dataDxfId="729"/>
    <tableColumn id="5" xr3:uid="{0547B21D-D560-492A-8428-8AD27267A6EB}" name="height h (mm)" dataDxfId="728"/>
    <tableColumn id="6" xr3:uid="{1DE001A4-0EFD-4A17-862D-F43F8C5897F7}" name="width w (mm)" dataDxfId="727"/>
    <tableColumn id="7" xr3:uid="{CA10EF4D-A13A-474F-886C-B8C1D78B98DD}" name="depth d (mm)" dataDxfId="726"/>
    <tableColumn id="8" xr3:uid="{2993D1E7-B5D2-479C-B6DA-57987E0B82B5}" name="Radius stem (mm)" dataDxfId="725">
      <calculatedColumnFormula>D44*0.5</calculatedColumnFormula>
    </tableColumn>
    <tableColumn id="9" xr3:uid="{E8BBC412-CCB0-4533-AF90-2D8DADD35D05}" name="Volume of stem cylinder (cm3)" dataDxfId="724">
      <calculatedColumnFormula>(3.14*(H44*H44)*C44)/1000</calculatedColumnFormula>
    </tableColumn>
    <tableColumn id="10" xr3:uid="{581F784D-539C-476A-97B3-32F596648F9F}" name="Volume of cone (cm3)" dataDxfId="723">
      <calculatedColumnFormula>((PI()*(F44*0.5)*(G44*0.5)*E44)/3)/1000</calculatedColumnFormula>
    </tableColumn>
    <tableColumn id="11" xr3:uid="{9860596B-71C6-4736-A6D5-87CEED0845E5}" name="Total thallus volume (cm3)" dataDxfId="722">
      <calculatedColumnFormula>I44+J44</calculatedColumnFormula>
    </tableColumn>
    <tableColumn id="12" xr3:uid="{6C397446-8069-4C07-ABB1-88F22CA417B3}" name="Crops per year" dataDxfId="721">
      <calculatedColumnFormula>IF(B44=1,$G$11,IF(B44=2,$G$12,IF(B44=3,$G$13,IF(B44=4,$G$14,))))</calculatedColumnFormula>
    </tableColumn>
    <tableColumn id="13" xr3:uid="{7B2CB05C-341A-4555-B392-016773FA8273}" name="CaCO3 (g) v volume relationship" dataDxfId="720">
      <calculatedColumnFormula>IF(B44=1,$D$11,IF(B44=2,$D$12,IF(B44=3,$D$13,IF(B44=4,$D$14,))))</calculatedColumnFormula>
    </tableColumn>
    <tableColumn id="14" xr3:uid="{84A7E684-618D-46C6-A0F3-2CEE2597F054}" name="CaCO3 prod (g) /thallus/yr" dataDxfId="719">
      <calculatedColumnFormula>(K44*M44)*L44</calculatedColumnFormula>
    </tableColumn>
    <tableColumn id="15" xr3:uid="{997AD163-2C51-4D0C-8D02-438A24E2D17C}" name="g CaCO3/m2/yr" dataDxfId="718">
      <calculatedColumnFormula>N44*(1/$B$6)</calculatedColumnFormula>
    </tableColumn>
    <tableColumn id="16" xr3:uid="{5DB24964-C922-4EAB-A2C0-C090BAC2CFA4}" name="kg CaCO3/m2/yr" dataDxfId="717">
      <calculatedColumnFormula>O44/1000</calculatedColumnFormula>
    </tableColumn>
    <tableColumn id="17" xr3:uid="{D52A0FE5-09CE-45B8-BAF7-697FB0F5F33D}" name="." dataDxfId="716"/>
    <tableColumn id="18" xr3:uid="{4AA8DD1A-ADA2-491B-BD49-C0A8CD8F82E0}" name="Species 1" dataDxfId="715">
      <calculatedColumnFormula>IF(B44=1, P44,"")</calculatedColumnFormula>
    </tableColumn>
    <tableColumn id="19" xr3:uid="{0B57E259-1CA8-4470-A16E-331392EDF205}" name="Species 2" dataDxfId="714">
      <calculatedColumnFormula>IF(B44=2, P44,"")</calculatedColumnFormula>
    </tableColumn>
    <tableColumn id="20" xr3:uid="{35833DB6-EE7A-4C32-94B0-B008AF41FE7F}" name="Species 3" dataDxfId="713">
      <calculatedColumnFormula>IF(B44=3, P44,"")</calculatedColumnFormula>
    </tableColumn>
    <tableColumn id="21" xr3:uid="{29852888-E483-4B71-8ECF-3A244F9B8DE7}" name="Species 4" dataDxfId="712">
      <calculatedColumnFormula>IF(B44=4, P44,"")</calculatedColumnFormula>
    </tableColumn>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3F761BEF-7DA0-4735-9CE6-665A92487E86}" name="TableP3" displayName="TableP3" ref="A60:U70" totalsRowShown="0" headerRowDxfId="711" dataDxfId="710" tableBorderDxfId="709">
  <tableColumns count="21">
    <tableColumn id="1" xr3:uid="{8FAF586A-0004-404A-9551-9FEC1A61EE5E}" name="Quadrat #" dataDxfId="708">
      <calculatedColumnFormula>3</calculatedColumnFormula>
    </tableColumn>
    <tableColumn id="2" xr3:uid="{E23C8275-BD03-4B8F-A6E8-1CABBA379A52}" name="Species / morphology code (select from above)" dataDxfId="707"/>
    <tableColumn id="3" xr3:uid="{D297AF79-CDF3-4D87-9774-1EDB257F4C0A}" name="height s (mm)" dataDxfId="706"/>
    <tableColumn id="4" xr3:uid="{3EE36931-8029-4EAE-9079-016267B796EA}" name="width s (mm)" dataDxfId="705"/>
    <tableColumn id="5" xr3:uid="{C6523689-0EA0-4FEF-8C50-C11CD1F4055E}" name="height h (mm)" dataDxfId="704"/>
    <tableColumn id="6" xr3:uid="{1C0094E1-7247-4A7F-A7E2-BCB76432CF39}" name="width w (mm)" dataDxfId="703"/>
    <tableColumn id="7" xr3:uid="{03BA6932-1035-4331-9CF1-4802FA41CF51}" name="depth d (mm)" dataDxfId="702"/>
    <tableColumn id="8" xr3:uid="{76758342-237F-4700-98EE-67AD464EB65D}" name="Radius stem (mm)" dataDxfId="701">
      <calculatedColumnFormula>D61*0.5</calculatedColumnFormula>
    </tableColumn>
    <tableColumn id="9" xr3:uid="{E8179FEC-4ADE-4053-A456-ACDE8104ACC2}" name="Volume of stem cylinder (cm3)" dataDxfId="700">
      <calculatedColumnFormula>(3.14*(H61*H61)*C61)/1000</calculatedColumnFormula>
    </tableColumn>
    <tableColumn id="10" xr3:uid="{A99A192D-F903-4C48-B7D1-7597F5F65C92}" name="Volume of cone (cm3)" dataDxfId="699">
      <calculatedColumnFormula>((PI()*(F61*0.5)*(G61*0.5)*E61)/3)/1000</calculatedColumnFormula>
    </tableColumn>
    <tableColumn id="11" xr3:uid="{A4A3CA2A-E437-4376-A21C-EAD2B1F5AEC9}" name="Total thallus volume (cm3)" dataDxfId="698">
      <calculatedColumnFormula>I61+J61</calculatedColumnFormula>
    </tableColumn>
    <tableColumn id="12" xr3:uid="{9F9456DD-B83E-4F26-A637-ADCF6BBC195F}" name="Crops per year" dataDxfId="697">
      <calculatedColumnFormula>IF(B61=1,$G$11,IF(B61=2,$G$12,IF(B61=3,$G$13,IF(B61=4,$G$14,))))</calculatedColumnFormula>
    </tableColumn>
    <tableColumn id="13" xr3:uid="{8090F7FD-CC54-4CE5-AFE7-AD5DC6CAFA11}" name="CaCO3 (g) v volume relationship" dataDxfId="696">
      <calculatedColumnFormula>IF(B61=1,$D$11,IF(B61=2,$D$12,IF(B61=3,$D$13,IF(B61=4,$D$14,))))</calculatedColumnFormula>
    </tableColumn>
    <tableColumn id="14" xr3:uid="{8CDD7AAA-C70A-49B3-A7F2-F3DECDAFB2DB}" name="CaCO3 prod (g) /thallus/yr" dataDxfId="695">
      <calculatedColumnFormula>(K61*M61)*L61</calculatedColumnFormula>
    </tableColumn>
    <tableColumn id="15" xr3:uid="{D600D41E-AF39-4B1E-8183-9A59FBC06269}" name="g CaCO3/m2/yr" dataDxfId="694">
      <calculatedColumnFormula>N61*(1/$B$6)</calculatedColumnFormula>
    </tableColumn>
    <tableColumn id="16" xr3:uid="{E8F8592F-BAC1-4CEC-94B9-08048DCA78EA}" name="kg CaCO3/m2/yr" dataDxfId="693">
      <calculatedColumnFormula>O61/1000</calculatedColumnFormula>
    </tableColumn>
    <tableColumn id="17" xr3:uid="{9A9416E3-62B2-4F2B-9733-5FFE78285946}" name="." dataDxfId="692"/>
    <tableColumn id="18" xr3:uid="{BF45B12D-233B-42E2-A7C9-90A92325E158}" name="Species 1" dataDxfId="691">
      <calculatedColumnFormula>IF(B61=1, P61,"")</calculatedColumnFormula>
    </tableColumn>
    <tableColumn id="19" xr3:uid="{F2942CB0-3741-493B-9E55-67C6CFE6A9DE}" name="Species 2" dataDxfId="690">
      <calculatedColumnFormula>IF(B61=2, P61,"")</calculatedColumnFormula>
    </tableColumn>
    <tableColumn id="20" xr3:uid="{90D631D5-F34C-4DDF-AD6E-EEE2079DD96F}" name="Species 3" dataDxfId="689">
      <calculatedColumnFormula>IF(B61=3, P61,"")</calculatedColumnFormula>
    </tableColumn>
    <tableColumn id="21" xr3:uid="{652B8CAA-AD67-4DD4-94C0-9CB4352A65C7}" name="Species 4" dataDxfId="688">
      <calculatedColumnFormula>IF(B61=4, P61,"")</calculatedColumnFormula>
    </tableColumn>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75CC0D13-6221-44C2-AFDE-11554B583534}" name="TableP4" displayName="TableP4" ref="A77:U87" totalsRowShown="0" headerRowDxfId="687" dataDxfId="686" tableBorderDxfId="685">
  <tableColumns count="21">
    <tableColumn id="1" xr3:uid="{9FF4ADC6-AE57-495B-910C-872A3440F69C}" name="Quadrat #" dataDxfId="684">
      <calculatedColumnFormula>4</calculatedColumnFormula>
    </tableColumn>
    <tableColumn id="2" xr3:uid="{D4FB5CF1-64FC-406D-99FB-1234D79E2417}" name="Species / morphology code (select from above)" dataDxfId="683"/>
    <tableColumn id="3" xr3:uid="{ABE8BD01-E9B8-456B-B29A-06E2B30FA82E}" name="height s (mm)" dataDxfId="682"/>
    <tableColumn id="4" xr3:uid="{EC6BF391-78FD-4026-839A-DA3763BCF5B8}" name="width s (mm)" dataDxfId="681"/>
    <tableColumn id="5" xr3:uid="{A348FE8D-CC6F-4EA4-A904-8F699AACD0FF}" name="height h (mm)" dataDxfId="680"/>
    <tableColumn id="6" xr3:uid="{EFAC9990-5474-4FAF-B388-CF63474DD9EA}" name="width w (mm)" dataDxfId="679"/>
    <tableColumn id="7" xr3:uid="{A8B8D0A4-B70E-4125-8256-4700F6B2B626}" name="depth d (mm)" dataDxfId="678"/>
    <tableColumn id="8" xr3:uid="{CA796E3D-B172-4FFD-A537-6294E0B2228A}" name="Radius stem (mm)" dataDxfId="677">
      <calculatedColumnFormula>D78*0.5</calculatedColumnFormula>
    </tableColumn>
    <tableColumn id="9" xr3:uid="{B8198926-C244-4660-BBC5-0EAAFA9479CA}" name="Volume of stem cylinder (cm3)" dataDxfId="676">
      <calculatedColumnFormula>(3.14*(H78*H78)*C78)/1000</calculatedColumnFormula>
    </tableColumn>
    <tableColumn id="10" xr3:uid="{DAB242D3-648E-42A6-BCE6-925E815D8357}" name="Volume of cone (cm3)" dataDxfId="675">
      <calculatedColumnFormula>((PI()*(F78*0.5)*(G78*0.5)*E78)/3)/1000</calculatedColumnFormula>
    </tableColumn>
    <tableColumn id="11" xr3:uid="{645CB3B5-AC3F-43F2-8F8A-AF28AD95F2D4}" name="Total thallus volume (cm3)" dataDxfId="674">
      <calculatedColumnFormula>I78+J78</calculatedColumnFormula>
    </tableColumn>
    <tableColumn id="12" xr3:uid="{903A4D3B-1C6B-4542-965D-2BDD88825A34}" name="Crops per year" dataDxfId="673">
      <calculatedColumnFormula>IF(B78=1,$G$11,IF(B78=2,$G$12,IF(B78=3,$G$13,IF(B78=4,$G$14,))))</calculatedColumnFormula>
    </tableColumn>
    <tableColumn id="13" xr3:uid="{72DBBE42-E752-4A60-955D-470692A0E3C8}" name="CaCO3 (g) v volume relationship" dataDxfId="672">
      <calculatedColumnFormula>IF(B78=1,$D$11,IF(B78=2,$D$12,IF(B78=3,$D$13,IF(B78=4,$D$14,))))</calculatedColumnFormula>
    </tableColumn>
    <tableColumn id="14" xr3:uid="{2130B115-47AE-4B00-9C6D-4D5630925ACA}" name="CaCO3 prod (g) /thallus/yr" dataDxfId="671">
      <calculatedColumnFormula>(K78*M78)*L78</calculatedColumnFormula>
    </tableColumn>
    <tableColumn id="15" xr3:uid="{A3BBAFC2-085E-4888-8A92-B1591679AC3F}" name="g CaCO3/m2/yr" dataDxfId="670">
      <calculatedColumnFormula>N78*(1/$B$6)</calculatedColumnFormula>
    </tableColumn>
    <tableColumn id="16" xr3:uid="{5BEA5A3D-D915-4583-B863-27E9E2E63454}" name="kg CaCO3/m2/yr" dataDxfId="669">
      <calculatedColumnFormula>O78/1000</calculatedColumnFormula>
    </tableColumn>
    <tableColumn id="17" xr3:uid="{71D2735B-B9E3-48F6-8060-3207FC0D05E0}" name="." dataDxfId="668"/>
    <tableColumn id="18" xr3:uid="{43D1E448-9DE2-4314-A488-6C4E148DF0E6}" name="Species 1" dataDxfId="667">
      <calculatedColumnFormula>IF(B78=1, P78,"")</calculatedColumnFormula>
    </tableColumn>
    <tableColumn id="19" xr3:uid="{B3438F0B-5F10-4E61-8343-5AECCA0CA180}" name="Species 2" dataDxfId="666">
      <calculatedColumnFormula>IF(B78=2, P78,"")</calculatedColumnFormula>
    </tableColumn>
    <tableColumn id="20" xr3:uid="{29472BCB-5151-470B-A075-C371F6EF7D1B}" name="Species 3" dataDxfId="665">
      <calculatedColumnFormula>IF(B78=3, P78,"")</calculatedColumnFormula>
    </tableColumn>
    <tableColumn id="21" xr3:uid="{D8BE39AA-CFEB-4DC3-9713-C536E09508AC}" name="Species 4" dataDxfId="664">
      <calculatedColumnFormula>IF(B78=4, P78,"")</calculatedColumnFormula>
    </tableColumn>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29399C6-7440-4B5D-AD15-AD03451664D6}" name="TableP5" displayName="TableP5" ref="A94:U104" totalsRowShown="0" headerRowDxfId="663" dataDxfId="662" tableBorderDxfId="661">
  <tableColumns count="21">
    <tableColumn id="1" xr3:uid="{EDE30B35-D55C-4B47-A3BF-4597BBD61EC1}" name="Quadrat #" dataDxfId="660">
      <calculatedColumnFormula>5</calculatedColumnFormula>
    </tableColumn>
    <tableColumn id="2" xr3:uid="{847139CC-A6A7-49BA-9E70-C84DF5F6B1AD}" name="Species / morphology code (select from above)" dataDxfId="659"/>
    <tableColumn id="3" xr3:uid="{E795F578-58CE-4113-8FF0-D3EB83B78A90}" name="height s (mm)" dataDxfId="658"/>
    <tableColumn id="4" xr3:uid="{19F5A95E-A896-4150-8D10-DA3CDD32448D}" name="width s (mm)" dataDxfId="657"/>
    <tableColumn id="5" xr3:uid="{FD9514D2-3CD3-434F-BA34-03B8B8BC848F}" name="height h (mm)" dataDxfId="656"/>
    <tableColumn id="6" xr3:uid="{B9C53D8D-F738-438A-8FF5-2C3B79C09C69}" name="width w (mm)" dataDxfId="655"/>
    <tableColumn id="7" xr3:uid="{D80FFBE7-A775-4BA7-BC89-49FA331EB2FA}" name="depth d (mm)" dataDxfId="654"/>
    <tableColumn id="8" xr3:uid="{D6F5960B-A0AF-4C96-895E-F1F95CB469CF}" name="Radius stem (mm)" dataDxfId="653">
      <calculatedColumnFormula>D95*0.5</calculatedColumnFormula>
    </tableColumn>
    <tableColumn id="9" xr3:uid="{8440BA82-A711-4F6C-A805-222241B9BF5D}" name="Volume of stem cylinder (cm3)" dataDxfId="652">
      <calculatedColumnFormula>(3.14*(H95*H95)*C95)/1000</calculatedColumnFormula>
    </tableColumn>
    <tableColumn id="10" xr3:uid="{E1E3B611-7422-41B8-8BBE-72C865B55BF5}" name="Volume of cone (cm3)" dataDxfId="651">
      <calculatedColumnFormula>((PI()*(F95*0.5)*(G95*0.5)*E95)/3)/1000</calculatedColumnFormula>
    </tableColumn>
    <tableColumn id="11" xr3:uid="{640E2223-7AF3-4146-8EB5-7466FE873E45}" name="Total thallus volume (cm3)" dataDxfId="650">
      <calculatedColumnFormula>I95+J95</calculatedColumnFormula>
    </tableColumn>
    <tableColumn id="12" xr3:uid="{953A7CD6-4791-4871-AC02-4041AD3C8952}" name="Crops per year" dataDxfId="649">
      <calculatedColumnFormula>IF(B95=1,$G$11,IF(B95=2,$G$12,IF(B95=3,$G$13,IF(B95=4,$G$14,))))</calculatedColumnFormula>
    </tableColumn>
    <tableColumn id="13" xr3:uid="{D7290E37-FABD-46C3-892C-540A3A04C3FE}" name="CaCO3 (g) v volume relationship" dataDxfId="648">
      <calculatedColumnFormula>IF(B95=1,$D$11,IF(B95=2,$D$12,IF(B95=3,$D$13,IF(B95=4,$D$14,))))</calculatedColumnFormula>
    </tableColumn>
    <tableColumn id="14" xr3:uid="{1003500D-61C9-4893-A15D-4081FB461239}" name="CaCO3 prod (g) /thallus/yr" dataDxfId="647">
      <calculatedColumnFormula>(K95*M95)*L95</calculatedColumnFormula>
    </tableColumn>
    <tableColumn id="15" xr3:uid="{53469D95-D8C2-4DF9-845A-E2A1E1F991F8}" name="g CaCO3/m2/yr" dataDxfId="646">
      <calculatedColumnFormula>N95*(1/$B$6)</calculatedColumnFormula>
    </tableColumn>
    <tableColumn id="16" xr3:uid="{8353C4BF-4E46-4C4A-A036-FC99F547D12E}" name="kg CaCO3/m2/yr" dataDxfId="645">
      <calculatedColumnFormula>O95/1000</calculatedColumnFormula>
    </tableColumn>
    <tableColumn id="17" xr3:uid="{C1894487-0B5B-42B8-8825-13D72639FE2E}" name="." dataDxfId="644"/>
    <tableColumn id="18" xr3:uid="{CF840D26-D326-4763-9DCB-AF8958481845}" name="Species 1" dataDxfId="643">
      <calculatedColumnFormula>IF(B95=1, P95,"")</calculatedColumnFormula>
    </tableColumn>
    <tableColumn id="19" xr3:uid="{A64E2086-1F0A-4D5C-88DF-F49536D97926}" name="Species 2" dataDxfId="642">
      <calculatedColumnFormula>IF(B95=2, P95,"")</calculatedColumnFormula>
    </tableColumn>
    <tableColumn id="20" xr3:uid="{9B808B8D-D18B-437B-AE54-3C45F1033FD5}" name="Species 3" dataDxfId="641">
      <calculatedColumnFormula>IF(B95=3, P95,"")</calculatedColumnFormula>
    </tableColumn>
    <tableColumn id="21" xr3:uid="{0BED0FA9-A138-4AE5-B0D7-FCF5961A119B}" name="Species 4" dataDxfId="640">
      <calculatedColumnFormula>IF(B95=4, P95,"")</calculatedColumnFormula>
    </tableColumn>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F1A13BFC-44C1-4A2A-876B-92B000B88AED}" name="TableP6" displayName="TableP6" ref="A111:U121" totalsRowShown="0" headerRowDxfId="639" dataDxfId="638" tableBorderDxfId="637">
  <tableColumns count="21">
    <tableColumn id="1" xr3:uid="{B75DBB22-ADDF-49B9-84B3-078A343EAC40}" name="Quadrat #" dataDxfId="636">
      <calculatedColumnFormula>6</calculatedColumnFormula>
    </tableColumn>
    <tableColumn id="2" xr3:uid="{4B4C1725-CFE8-4B6A-9A0A-92799FB67C46}" name="Species / morphology code (select from above)" dataDxfId="635"/>
    <tableColumn id="3" xr3:uid="{76BC11F1-4755-4FE3-8816-23945BBF2F27}" name="height s (mm)" dataDxfId="634"/>
    <tableColumn id="4" xr3:uid="{73C0AD0B-DD07-41DB-B1B2-2AD0241C4306}" name="width s (mm)" dataDxfId="633"/>
    <tableColumn id="5" xr3:uid="{A220B484-DF58-465F-81D6-5E806F23DC4D}" name="height h (mm)" dataDxfId="632"/>
    <tableColumn id="6" xr3:uid="{6B89713F-6B10-489D-8989-9CEE12516F79}" name="width w (mm)" dataDxfId="631"/>
    <tableColumn id="7" xr3:uid="{5F629CE0-F607-4C31-877B-E89F36DCC3DD}" name="depth d (mm)" dataDxfId="630"/>
    <tableColumn id="8" xr3:uid="{D164AF71-D979-415D-B94D-574596DBEDB7}" name="Radius stem (mm)" dataDxfId="629">
      <calculatedColumnFormula>D112*0.5</calculatedColumnFormula>
    </tableColumn>
    <tableColumn id="9" xr3:uid="{2CB7A5B7-CDE6-48F6-8A28-4FF41D4A1036}" name="Volume of stem cylinder (cm3)" dataDxfId="628">
      <calculatedColumnFormula>(3.14*(H112*H112)*C112)/1000</calculatedColumnFormula>
    </tableColumn>
    <tableColumn id="10" xr3:uid="{9688B4DC-FB73-447D-B833-481149BFBF87}" name="Volume of cone (cm3)" dataDxfId="627">
      <calculatedColumnFormula>((PI()*(F112*0.5)*(G112*0.5)*E112)/3)/1000</calculatedColumnFormula>
    </tableColumn>
    <tableColumn id="11" xr3:uid="{ED4C69B1-1384-4E50-81A6-CD88716A0F23}" name="Total thallus volume (cm3)" dataDxfId="626">
      <calculatedColumnFormula>I112+J112</calculatedColumnFormula>
    </tableColumn>
    <tableColumn id="12" xr3:uid="{221601E8-4158-4CE8-99D4-04185E56506C}" name="Crops per year" dataDxfId="625">
      <calculatedColumnFormula>IF(B112=1,$G$11,IF(B112=2,$G$12,IF(B112=3,$G$13,IF(B112=4,$G$14,))))</calculatedColumnFormula>
    </tableColumn>
    <tableColumn id="13" xr3:uid="{2E8CB517-59C9-4297-BD63-2444180AFFFE}" name="CaCO3 (g) v volume relationship" dataDxfId="624">
      <calculatedColumnFormula>IF(B112=1,$D$11,IF(B112=2,$D$12,IF(B112=3,$D$13,IF(B112=4,$D$14,))))</calculatedColumnFormula>
    </tableColumn>
    <tableColumn id="14" xr3:uid="{F881BECA-A67F-4251-9FDB-41BAF188EAF5}" name="CaCO3 prod (g) /thallus/yr" dataDxfId="623">
      <calculatedColumnFormula>(K112*M112)*L112</calculatedColumnFormula>
    </tableColumn>
    <tableColumn id="15" xr3:uid="{1BFAD93F-A3B0-49C3-B605-E2196A21CDAC}" name="g CaCO3/m2/yr" dataDxfId="622">
      <calculatedColumnFormula>N112*(1/$B$6)</calculatedColumnFormula>
    </tableColumn>
    <tableColumn id="16" xr3:uid="{7C9242E6-56A7-42F5-8966-14B44A79FF49}" name="kg CaCO3/m2/yr" dataDxfId="621">
      <calculatedColumnFormula>O112/1000</calculatedColumnFormula>
    </tableColumn>
    <tableColumn id="17" xr3:uid="{B6D8200F-FA5F-4A15-91E0-67FCB102A386}" name="." dataDxfId="620"/>
    <tableColumn id="18" xr3:uid="{A81C98A5-C690-439E-B9D8-3E1FF2A3584E}" name="Species 1" dataDxfId="619">
      <calculatedColumnFormula>IF(B112=1, P112,"")</calculatedColumnFormula>
    </tableColumn>
    <tableColumn id="19" xr3:uid="{72E49292-C71A-45D9-8A34-11D0477B6FB4}" name="Species 2" dataDxfId="618">
      <calculatedColumnFormula>IF(B112=2, P112,"")</calculatedColumnFormula>
    </tableColumn>
    <tableColumn id="20" xr3:uid="{D319B00B-D650-40DA-AAE6-64241D3B4181}" name="Species 3" dataDxfId="617">
      <calculatedColumnFormula>IF(B112=3, P112,"")</calculatedColumnFormula>
    </tableColumn>
    <tableColumn id="21" xr3:uid="{92E054AA-D0BA-4136-9861-840AA42434BB}" name="Species 4" dataDxfId="616">
      <calculatedColumnFormula>IF(B112=4, P112,"")</calculatedColumnFormula>
    </tableColumn>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EF0C310E-A591-4978-81CA-B259E4A97E0F}" name="TableP7" displayName="TableP7" ref="A128:U138" totalsRowShown="0" headerRowDxfId="615" dataDxfId="614" tableBorderDxfId="613">
  <tableColumns count="21">
    <tableColumn id="1" xr3:uid="{0A2958AD-9241-4376-8B44-E6E9F8B0BA20}" name="Quadrat #" dataDxfId="612">
      <calculatedColumnFormula>7</calculatedColumnFormula>
    </tableColumn>
    <tableColumn id="2" xr3:uid="{ABFFB506-9784-4D34-A788-A66995BC5D81}" name="Species / morphology code (select from above)" dataDxfId="611"/>
    <tableColumn id="3" xr3:uid="{87C7D290-C29E-4A72-9074-A00728520FC3}" name="height s (mm)" dataDxfId="610"/>
    <tableColumn id="4" xr3:uid="{71F3025F-46E4-4CA7-A147-F530BAC46086}" name="width s (mm)" dataDxfId="609"/>
    <tableColumn id="5" xr3:uid="{188C8C9E-B6B5-4DE0-A6CA-ABA01FF9EEC4}" name="height h (mm)" dataDxfId="608"/>
    <tableColumn id="6" xr3:uid="{4C03EDF9-EBE3-4F9D-8BC9-F5245B2F48A9}" name="width w (mm)" dataDxfId="607"/>
    <tableColumn id="7" xr3:uid="{0974C81F-5771-4E6D-9654-FDBF33A756BA}" name="depth d (mm)" dataDxfId="606"/>
    <tableColumn id="8" xr3:uid="{80079074-6222-46E3-88BA-52FA56C75DFE}" name="Radius stem (mm)" dataDxfId="605">
      <calculatedColumnFormula>D129*0.5</calculatedColumnFormula>
    </tableColumn>
    <tableColumn id="9" xr3:uid="{B63DFE95-59A3-4A9C-B290-7080A4F445BE}" name="Volume of stem cylinder (cm3)" dataDxfId="604">
      <calculatedColumnFormula>(3.14*(H129*H129)*C129)/1000</calculatedColumnFormula>
    </tableColumn>
    <tableColumn id="10" xr3:uid="{B4544D94-A23C-4FE3-AF8A-C329E21F1CE9}" name="Volume of cone (cm3)" dataDxfId="603">
      <calculatedColumnFormula>((PI()*(F129*0.5)*(G129*0.5)*E129)/3)/1000</calculatedColumnFormula>
    </tableColumn>
    <tableColumn id="11" xr3:uid="{F1D4BEDB-6AF5-498B-82FC-B75B38BE9D23}" name="Total thallus volume (cm3)" dataDxfId="602">
      <calculatedColumnFormula>I129+J129</calculatedColumnFormula>
    </tableColumn>
    <tableColumn id="12" xr3:uid="{C1B9D736-03B5-4527-B498-01E455152D9E}" name="Crops per year" dataDxfId="601">
      <calculatedColumnFormula>IF(B129=1,$G$11,IF(B129=2,$G$12,IF(B129=3,$G$13,IF(B129=4,$G$14,))))</calculatedColumnFormula>
    </tableColumn>
    <tableColumn id="13" xr3:uid="{AD1F7A7B-5798-41CC-9624-A9E7A08984F2}" name="CaCO3 (g) v volume relationship" dataDxfId="600">
      <calculatedColumnFormula>IF(B129=1,$D$11,IF(B129=2,$D$12,IF(B129=3,$D$13,IF(B129=4,$D$14,))))</calculatedColumnFormula>
    </tableColumn>
    <tableColumn id="14" xr3:uid="{37CEFEA5-D3BD-4D8C-975A-8F26332E0298}" name="CaCO3 prod (g) /thallus/yr" dataDxfId="599">
      <calculatedColumnFormula>(K129*M129)*L129</calculatedColumnFormula>
    </tableColumn>
    <tableColumn id="15" xr3:uid="{CCA29FA8-5557-41F7-8883-B00C10D46C21}" name="g CaCO3/m2/yr" dataDxfId="598">
      <calculatedColumnFormula>N129*(1/$B$6)</calculatedColumnFormula>
    </tableColumn>
    <tableColumn id="16" xr3:uid="{B9B8D251-F19B-46F0-967C-7190A5036A1A}" name="kg CaCO3/m2/yr" dataDxfId="597">
      <calculatedColumnFormula>O129/1000</calculatedColumnFormula>
    </tableColumn>
    <tableColumn id="17" xr3:uid="{A6C3B902-F114-477D-9B11-C6DF79A40116}" name="." dataDxfId="596"/>
    <tableColumn id="18" xr3:uid="{48479202-0092-4DDB-BB2E-CA8870932921}" name="Species 1" dataDxfId="595">
      <calculatedColumnFormula>IF(B129=1, P129,"")</calculatedColumnFormula>
    </tableColumn>
    <tableColumn id="19" xr3:uid="{830D1D18-D2FC-40D3-A7C8-7CE6045B537C}" name="Species 2" dataDxfId="594">
      <calculatedColumnFormula>IF(B129=2, P129,"")</calculatedColumnFormula>
    </tableColumn>
    <tableColumn id="20" xr3:uid="{7D0345C2-1775-4C43-BB1E-50A824B4A4F6}" name="Species 3" dataDxfId="593">
      <calculatedColumnFormula>IF(B129=3, P129,"")</calculatedColumnFormula>
    </tableColumn>
    <tableColumn id="21" xr3:uid="{58B80803-042E-42AD-BC84-2F53A22A78E9}" name="Species 4" dataDxfId="592">
      <calculatedColumnFormula>IF(B129=4, P129,"")</calculatedColumnFormula>
    </tableColumn>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4C2BA668-26D9-448F-AB54-2E83B3ED011C}" name="TableP8" displayName="TableP8" ref="A145:U155" totalsRowShown="0" headerRowDxfId="591" dataDxfId="590" tableBorderDxfId="589">
  <tableColumns count="21">
    <tableColumn id="1" xr3:uid="{2E0E0250-A09E-4C2C-8A8F-38C0320533E2}" name="Quadrat #" dataDxfId="588">
      <calculatedColumnFormula>8</calculatedColumnFormula>
    </tableColumn>
    <tableColumn id="2" xr3:uid="{0F5EB7E1-1697-4188-8D12-049DEFB3FC11}" name="Species / morphology code (select from above)" dataDxfId="587"/>
    <tableColumn id="3" xr3:uid="{AEAA3D3B-7DC0-45C6-95E3-D537116100FB}" name="height s (mm)" dataDxfId="586"/>
    <tableColumn id="4" xr3:uid="{85D808E5-D7DA-47CD-A09D-CCCCC5026D86}" name="width s (mm)" dataDxfId="585"/>
    <tableColumn id="5" xr3:uid="{63D6D2DB-651C-4E80-A2EC-1E7F8A019628}" name="height h (mm)" dataDxfId="584"/>
    <tableColumn id="6" xr3:uid="{2D2A3071-B08B-4281-B8EA-080C733A6EF5}" name="width w (mm)" dataDxfId="583"/>
    <tableColumn id="7" xr3:uid="{64DC0D06-D362-4B5B-A934-5F145690453D}" name="depth d (mm)" dataDxfId="582"/>
    <tableColumn id="8" xr3:uid="{0093F48E-C3B5-4EC9-9BA2-4786C634DE5C}" name="Radius stem (mm)" dataDxfId="581">
      <calculatedColumnFormula>D146*0.5</calculatedColumnFormula>
    </tableColumn>
    <tableColumn id="9" xr3:uid="{C77C830F-3B77-43E5-AEBE-C8D06CB7C800}" name="Volume of stem cylinder (cm3)" dataDxfId="580">
      <calculatedColumnFormula>(3.14*(H146*H146)*C146)/1000</calculatedColumnFormula>
    </tableColumn>
    <tableColumn id="10" xr3:uid="{49C1C29F-68F5-45C3-A592-5F30C5AD30DA}" name="Volume of cone (cm3)" dataDxfId="579">
      <calculatedColumnFormula>((PI()*(F146*0.5)*(G146*0.5)*E146)/3)/1000</calculatedColumnFormula>
    </tableColumn>
    <tableColumn id="11" xr3:uid="{AC623122-7B04-43DE-BA3D-A9322F4A7299}" name="Total thallus volume (cm3)" dataDxfId="578">
      <calculatedColumnFormula>I146+J146</calculatedColumnFormula>
    </tableColumn>
    <tableColumn id="12" xr3:uid="{ABAEDF30-064C-4C30-9A76-46C46ADBE56E}" name="Crops per year" dataDxfId="577">
      <calculatedColumnFormula>IF(B146=1,$G$11,IF(B146=2,$G$12,IF(B146=3,$G$13,IF(B146=4,$G$14,))))</calculatedColumnFormula>
    </tableColumn>
    <tableColumn id="13" xr3:uid="{8A4135C5-8111-4DD2-8B55-AB502141CDD0}" name="CaCO3 (g) v volume relationship" dataDxfId="576">
      <calculatedColumnFormula>IF(B146=1,$D$11,IF(B146=2,$D$12,IF(B146=3,$D$13,IF(B146=4,$D$14,))))</calculatedColumnFormula>
    </tableColumn>
    <tableColumn id="14" xr3:uid="{49310C76-5DF9-459F-B077-49F18A77FE82}" name="CaCO3 prod (g) /thallus/yr" dataDxfId="575">
      <calculatedColumnFormula>(K146*M146)*L146</calculatedColumnFormula>
    </tableColumn>
    <tableColumn id="15" xr3:uid="{1DA8602A-4C55-4A7C-855E-5138792B359A}" name="g CaCO3/m2/yr" dataDxfId="574">
      <calculatedColumnFormula>N146*(1/$B$6)</calculatedColumnFormula>
    </tableColumn>
    <tableColumn id="16" xr3:uid="{0F87F8F1-2B68-41D9-B010-BDA781DB41D0}" name="kg CaCO3/m2/yr" dataDxfId="573">
      <calculatedColumnFormula>O146/1000</calculatedColumnFormula>
    </tableColumn>
    <tableColumn id="17" xr3:uid="{994E4F73-670D-4128-BD18-872695770569}" name="." dataDxfId="572"/>
    <tableColumn id="18" xr3:uid="{003978F4-9371-4876-854B-1292D964AC4F}" name="Species 1" dataDxfId="571">
      <calculatedColumnFormula>IF(B146=1, P146,"")</calculatedColumnFormula>
    </tableColumn>
    <tableColumn id="19" xr3:uid="{8D6E9AE5-2BAA-4320-B7ED-D2D5523EA937}" name="Species 2" dataDxfId="570">
      <calculatedColumnFormula>IF(B146=2, P146,"")</calculatedColumnFormula>
    </tableColumn>
    <tableColumn id="20" xr3:uid="{0D1A006B-C935-43A2-94F2-FBCE854EDDCC}" name="Species 3" dataDxfId="569">
      <calculatedColumnFormula>IF(B146=3, P146,"")</calculatedColumnFormula>
    </tableColumn>
    <tableColumn id="21" xr3:uid="{DEA82BC1-C996-447C-96C5-3C9A649BA6D2}" name="Species 4" dataDxfId="568">
      <calculatedColumnFormula>IF(B146=4, P146,"")</calculatedColumnFormula>
    </tableColumn>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7FBE4FEF-87AC-4958-8D4A-BCEBB60EE4F1}" name="TableP9" displayName="TableP9" ref="A162:U172" totalsRowShown="0" headerRowDxfId="567" dataDxfId="566" tableBorderDxfId="565">
  <tableColumns count="21">
    <tableColumn id="1" xr3:uid="{B21EF4A8-9303-4BAB-936A-F31AA7A609D7}" name="Quadrat #" dataDxfId="564">
      <calculatedColumnFormula>9</calculatedColumnFormula>
    </tableColumn>
    <tableColumn id="2" xr3:uid="{29F9DD85-CCF2-4298-A82C-21EB31C04FB4}" name="Species / morphology code (select from above)" dataDxfId="563"/>
    <tableColumn id="3" xr3:uid="{D9E30E21-C67B-407C-AC16-DE3F160696B4}" name="height s (mm)" dataDxfId="562"/>
    <tableColumn id="4" xr3:uid="{5D61387A-97FB-4ACB-8B6D-8CF43D55914C}" name="width s (mm)" dataDxfId="561"/>
    <tableColumn id="5" xr3:uid="{8D9BA405-DCA3-44ED-A497-76A485422C60}" name="height h (mm)" dataDxfId="560"/>
    <tableColumn id="6" xr3:uid="{5C318527-5519-4D10-B26B-A354EED2393C}" name="width w (mm)" dataDxfId="559"/>
    <tableColumn id="7" xr3:uid="{3DDCE8D9-2C54-4E2B-BF1A-CE0F9D4C1B56}" name="depth d (mm)" dataDxfId="558"/>
    <tableColumn id="8" xr3:uid="{1FA53F8A-4FC0-4B20-AC56-061A8ABD9750}" name="Radius stem (mm)" dataDxfId="557">
      <calculatedColumnFormula>D163*0.5</calculatedColumnFormula>
    </tableColumn>
    <tableColumn id="9" xr3:uid="{1A03E33B-4C48-4562-9835-D50F0CDDB9F1}" name="Volume of stem cylinder (cm3)" dataDxfId="556">
      <calculatedColumnFormula>(3.14*(H163*H163)*C163)/1000</calculatedColumnFormula>
    </tableColumn>
    <tableColumn id="10" xr3:uid="{21241F70-B1C6-4898-ABFE-E51BBF31A7CF}" name="Volume of cone (cm3)" dataDxfId="555">
      <calculatedColumnFormula>((PI()*(F163*0.5)*(G163*0.5)*E163)/3)/1000</calculatedColumnFormula>
    </tableColumn>
    <tableColumn id="11" xr3:uid="{0515BADA-AAA5-45A0-BF20-8E7957B15922}" name="Total thallus volume (cm3)" dataDxfId="554">
      <calculatedColumnFormula>I163+J163</calculatedColumnFormula>
    </tableColumn>
    <tableColumn id="12" xr3:uid="{5C2F8637-B5CF-4B36-82FF-975F54FD02F9}" name="Crops per year" dataDxfId="553">
      <calculatedColumnFormula>IF(B163=1,$G$11,IF(B163=2,$G$12,IF(B163=3,$G$13,IF(B163=4,$G$14,))))</calculatedColumnFormula>
    </tableColumn>
    <tableColumn id="13" xr3:uid="{E8CE7A63-658C-4CB5-A130-E599A329E58E}" name="CaCO3 (g) v volume relationship" dataDxfId="552">
      <calculatedColumnFormula>IF(B163=1,$D$11,IF(B163=2,$D$12,IF(B163=3,$D$13,IF(B163=4,$D$14,))))</calculatedColumnFormula>
    </tableColumn>
    <tableColumn id="14" xr3:uid="{03F9930A-5C6C-470E-96EB-F0AC6E9C2A49}" name="CaCO3 prod (g) /thallus/yr" dataDxfId="551">
      <calculatedColumnFormula>(K163*M163)*L163</calculatedColumnFormula>
    </tableColumn>
    <tableColumn id="15" xr3:uid="{026B5F70-C705-46D1-8EE8-172C33FB61F3}" name="g CaCO3/m2/yr" dataDxfId="550">
      <calculatedColumnFormula>N163*(1/$B$6)</calculatedColumnFormula>
    </tableColumn>
    <tableColumn id="16" xr3:uid="{61777A84-E69C-4FB6-8E12-A694A41D686D}" name="kg CaCO3/m2/yr" dataDxfId="549">
      <calculatedColumnFormula>O163/1000</calculatedColumnFormula>
    </tableColumn>
    <tableColumn id="17" xr3:uid="{7D53C1BB-2CCE-4818-A2E9-CBE91893DD0E}" name="." dataDxfId="548"/>
    <tableColumn id="18" xr3:uid="{26BA82E2-C57C-4E7E-98B8-508A8EBA033D}" name="Species 1" dataDxfId="547">
      <calculatedColumnFormula>IF(B163=1, P163,"")</calculatedColumnFormula>
    </tableColumn>
    <tableColumn id="19" xr3:uid="{92C1AFF0-0F62-4996-85E5-742B10404E76}" name="Species 2" dataDxfId="546">
      <calculatedColumnFormula>IF(B163=2, P163,"")</calculatedColumnFormula>
    </tableColumn>
    <tableColumn id="20" xr3:uid="{41A1082A-8E23-47FF-BE87-D54BBC4E99EB}" name="Species 3" dataDxfId="545">
      <calculatedColumnFormula>IF(B163=3, P163,"")</calculatedColumnFormula>
    </tableColumn>
    <tableColumn id="21" xr3:uid="{7D258F17-D56A-4D42-A034-9A64D51D086B}" name="Species 4" dataDxfId="544">
      <calculatedColumnFormula>IF(B163=4, P163,"")</calculatedColumnFormula>
    </tableColumn>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DB3A0792-7B29-4AAE-B3B3-80B99247A583}" name="TableP10" displayName="TableP10" ref="A179:U189" totalsRowShown="0" headerRowDxfId="543" dataDxfId="542" tableBorderDxfId="541">
  <tableColumns count="21">
    <tableColumn id="1" xr3:uid="{042E56D7-D8F9-40F1-A722-D85019823157}" name="Quadrat #" dataDxfId="540">
      <calculatedColumnFormula>10</calculatedColumnFormula>
    </tableColumn>
    <tableColumn id="2" xr3:uid="{04EA84DD-1347-4EEA-9036-77E9E32D8217}" name="Species / morphology code (select from above)" dataDxfId="539"/>
    <tableColumn id="3" xr3:uid="{9B01BCAC-4390-4A62-827A-03203B2C53A4}" name="height s (mm)" dataDxfId="538"/>
    <tableColumn id="4" xr3:uid="{4BE921BF-2254-431F-89F8-51C45CE769C4}" name="width s (mm)" dataDxfId="537"/>
    <tableColumn id="5" xr3:uid="{1AD71767-36D7-4868-BD75-39EB5B50F1F9}" name="height h (mm)" dataDxfId="536"/>
    <tableColumn id="6" xr3:uid="{511C0541-B807-4683-AD81-F6D541C817DB}" name="width w (mm)" dataDxfId="535"/>
    <tableColumn id="7" xr3:uid="{13FC0FEC-8CB2-451C-A9C3-529621FC326E}" name="depth d (mm)" dataDxfId="534"/>
    <tableColumn id="8" xr3:uid="{B1B65C63-6DE4-4B1F-A0A4-94CE9B024A5C}" name="Radius stem (mm)" dataDxfId="533">
      <calculatedColumnFormula>D180*0.5</calculatedColumnFormula>
    </tableColumn>
    <tableColumn id="9" xr3:uid="{1980C13F-1D58-4D35-A679-80A15F6EC6C2}" name="Volume of stem cylinder (cm3)" dataDxfId="532">
      <calculatedColumnFormula>(3.14*(H180*H180)*C180)/1000</calculatedColumnFormula>
    </tableColumn>
    <tableColumn id="10" xr3:uid="{E1EC61A3-2BCB-44FF-AD98-5A789A66215E}" name="Volume of cone (cm3)" dataDxfId="531">
      <calculatedColumnFormula>((PI()*(F180*0.5)*(G180*0.5)*E180)/3)/1000</calculatedColumnFormula>
    </tableColumn>
    <tableColumn id="11" xr3:uid="{0F13AA59-F40B-4BE9-8282-84110B4068C3}" name="Total thallus volume (cm3)" dataDxfId="530">
      <calculatedColumnFormula>I180+J180</calculatedColumnFormula>
    </tableColumn>
    <tableColumn id="12" xr3:uid="{FD37FB5E-229C-4AF0-AF76-DF2DDEBA951E}" name="Crops per year" dataDxfId="529">
      <calculatedColumnFormula>IF(B180=1,$G$11,IF(B180=2,$G$12,IF(B180=3,$G$13,IF(B180=4,$G$14,))))</calculatedColumnFormula>
    </tableColumn>
    <tableColumn id="13" xr3:uid="{C5DC4F40-E6FD-46F3-964A-4E248C92FDD9}" name="CaCO3 (g) v volume relationship" dataDxfId="528">
      <calculatedColumnFormula>IF(B180=1,$D$11,IF(B180=2,$D$12,IF(B180=3,$D$13,IF(B180=4,$D$14,))))</calculatedColumnFormula>
    </tableColumn>
    <tableColumn id="14" xr3:uid="{76558341-2AAC-4BAF-834C-0D8F19707CE8}" name="CaCO3 prod (g) /thallus/yr" dataDxfId="527">
      <calculatedColumnFormula>(K180*M180)*L180</calculatedColumnFormula>
    </tableColumn>
    <tableColumn id="15" xr3:uid="{39F3868D-643A-4622-88E7-CFFC23A4802C}" name="g CaCO3/m2/yr" dataDxfId="526">
      <calculatedColumnFormula>N180*(1/$B$6)</calculatedColumnFormula>
    </tableColumn>
    <tableColumn id="16" xr3:uid="{043CD1F5-EAC1-493F-8847-7DEA343F31BC}" name="kg CaCO3/m2/yr" dataDxfId="525">
      <calculatedColumnFormula>O180/1000</calculatedColumnFormula>
    </tableColumn>
    <tableColumn id="17" xr3:uid="{F238BC6E-EE97-4B4F-AA1D-EBD1E351B297}" name="." dataDxfId="524"/>
    <tableColumn id="18" xr3:uid="{650D5411-46FC-407E-A62D-F2DC368D2DBF}" name="Species 1" dataDxfId="523">
      <calculatedColumnFormula>IF(B180=1, P180,"")</calculatedColumnFormula>
    </tableColumn>
    <tableColumn id="19" xr3:uid="{2821DE1C-61B4-4764-BAAE-CA700A987219}" name="Species 2" dataDxfId="522">
      <calculatedColumnFormula>IF(B180=2, P180,"")</calculatedColumnFormula>
    </tableColumn>
    <tableColumn id="20" xr3:uid="{1C8D97AF-3618-4245-B8A6-BBE49DDCEA1D}" name="Species 3" dataDxfId="521">
      <calculatedColumnFormula>IF(B180=3, P180,"")</calculatedColumnFormula>
    </tableColumn>
    <tableColumn id="21" xr3:uid="{0321A2C6-0D9D-4E46-9A7D-C323788302B4}" name="Species 4" dataDxfId="520">
      <calculatedColumnFormula>IF(B180=4, P180,"")</calculatedColumnFormula>
    </tableColumn>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1D2DC74C-73F5-44D2-9201-D5028D82045A}" name="TableU1" displayName="TableU1" ref="A26:V36" totalsRowShown="0" headerRowDxfId="519" dataDxfId="518" tableBorderDxfId="517">
  <tableColumns count="22">
    <tableColumn id="1" xr3:uid="{A7CE983F-DD27-43B6-8FCE-3294F527D9DA}" name="Quadrat #" dataDxfId="516">
      <calculatedColumnFormula>1</calculatedColumnFormula>
    </tableColumn>
    <tableColumn id="2" xr3:uid="{46216399-C6B4-4D13-9F44-F185A91A5D01}" name="Species / morphology code (select from above)" dataDxfId="515"/>
    <tableColumn id="3" xr3:uid="{2EB75C57-B309-4D2C-B746-7468FAF01564}" name="height s (mm)" dataDxfId="514"/>
    <tableColumn id="4" xr3:uid="{F3483EFD-EADD-43F5-82F2-75E827997B87}" name="width s (mm)" dataDxfId="513"/>
    <tableColumn id="5" xr3:uid="{536B968A-85C1-4788-A47C-6FF5CD8BBBEF}" name="height h (mm)" dataDxfId="512"/>
    <tableColumn id="6" xr3:uid="{66F0F16A-C0CA-4475-850E-47442C0ACD0F}" name="width w (mm)" dataDxfId="511"/>
    <tableColumn id="7" xr3:uid="{732706A3-7151-4E0E-9F30-A6C891C93DB4}" name="depth d (mm)" dataDxfId="510"/>
    <tableColumn id="8" xr3:uid="{9FC3CFFA-9154-424B-B0C7-7D82783DA6B1}" name="Radius stem (mm)" dataDxfId="509">
      <calculatedColumnFormula>D27*0.5</calculatedColumnFormula>
    </tableColumn>
    <tableColumn id="9" xr3:uid="{EF4EC1B6-742E-4536-AACF-FDB0946524F2}" name="Volume of stem cylinder (cm3)" dataDxfId="508">
      <calculatedColumnFormula>(PI()*(H27*H27)*C27)/1000</calculatedColumnFormula>
    </tableColumn>
    <tableColumn id="10" xr3:uid="{F7C6109D-52BE-4678-99A5-5F214BB2DD38}" name="Volume of head if cone (cm3)" dataDxfId="507">
      <calculatedColumnFormula>((PI()*(F27*0.5)*(G27*0.5)*E27)/3)/1000</calculatedColumnFormula>
    </tableColumn>
    <tableColumn id="11" xr3:uid="{0AA9314C-B007-450F-A6F8-BF587BE7673E}" name="Volume of head if triangular prism (cm3)" dataDxfId="506">
      <calculatedColumnFormula>(((E27*F27)*G27)*0.5)/1000</calculatedColumnFormula>
    </tableColumn>
    <tableColumn id="12" xr3:uid="{6FF04280-4EAB-4347-94F5-4E2BC74F0DCA}" name="Total thallus volume (cm3)" dataDxfId="505">
      <calculatedColumnFormula>IFERROR(IF(VLOOKUP(B27,UdoteaInitialMetrics,2,FALSE) = "Vase-shaped", (I27+J27), IF(VLOOKUP(B27, UdoteaInitialMetrics,2,FALSE) = "Fan-shaped", (I27+K27), "")),"")</calculatedColumnFormula>
    </tableColumn>
    <tableColumn id="13" xr3:uid="{0BAE60D8-98E6-441C-B19F-1661D54747E4}" name="CaCO3 (g) to volume relationship" dataDxfId="504">
      <calculatedColumnFormula>IF(B27=1,$E$11,IF(B27=2,$E$12,IF(B27=3,0,IF(B27=4,0,""))))</calculatedColumnFormula>
    </tableColumn>
    <tableColumn id="14" xr3:uid="{46CE5249-CF7D-4220-BB85-59638B0A8F60}" name="Crops per year" dataDxfId="503">
      <calculatedColumnFormula>IF(B27=1,$H$11,IF(B27=2,$H$12,IF(B27=3,$H$13,IF(B27=4,$H$14,""))))</calculatedColumnFormula>
    </tableColumn>
    <tableColumn id="15" xr3:uid="{AEADADDA-2B11-4041-A59A-0ACE75C8112F}" name="CaCO3 prod (g) /thallus/yr" dataDxfId="502">
      <calculatedColumnFormula>IFERROR((L27*M27)*N27, "")</calculatedColumnFormula>
    </tableColumn>
    <tableColumn id="16" xr3:uid="{7C689C10-5091-47C6-83DB-D2CE9493DD15}" name="g CaCO3/m2/yr" dataDxfId="501">
      <calculatedColumnFormula>IFERROR(O27*(1/$B$6), "")</calculatedColumnFormula>
    </tableColumn>
    <tableColumn id="17" xr3:uid="{A9CAB2C4-4161-4AC4-B39C-6C11E0200DE5}" name="kg CaCO3/m2/yr" dataDxfId="500">
      <calculatedColumnFormula>IFERROR(P27/1000,"")</calculatedColumnFormula>
    </tableColumn>
    <tableColumn id="18" xr3:uid="{123B2E22-4F8F-4736-B4CC-06EC0D1429A2}" name="." dataDxfId="499"/>
    <tableColumn id="19" xr3:uid="{A5CCCEEB-E3A7-4A53-A2F8-75F9AD6C47C6}" name="Species 1" dataDxfId="498">
      <calculatedColumnFormula>IF(B27=1, Q27,"")</calculatedColumnFormula>
    </tableColumn>
    <tableColumn id="20" xr3:uid="{00294CF3-E7F1-4EF2-B9F9-2C7C67AAC19D}" name="Species 2" dataDxfId="497">
      <calculatedColumnFormula>IF(B27=2, Q27,"")</calculatedColumnFormula>
    </tableColumn>
    <tableColumn id="21" xr3:uid="{8D1276CC-2AFA-4B8B-B6B6-EFC14E65DEC4}" name="Species 3" dataDxfId="496">
      <calculatedColumnFormula>IF(B27=3, Q27,"")</calculatedColumnFormula>
    </tableColumn>
    <tableColumn id="22" xr3:uid="{02685093-E415-4236-8B90-77132E395F6C}" name="Species 4" dataDxfId="495">
      <calculatedColumnFormula>IF(B27=4, Q27,"")</calculatedColumnFormula>
    </tableColumn>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D75EF77F-E2A2-4BCC-8B92-0BA21F07BA4C}" name="TableU2" displayName="TableU2" ref="A42:V52" totalsRowShown="0" headerRowDxfId="494" dataDxfId="493" tableBorderDxfId="492">
  <tableColumns count="22">
    <tableColumn id="1" xr3:uid="{21F82A6C-2306-4277-91F3-0E43632463E8}" name="Quadrat #" dataDxfId="491">
      <calculatedColumnFormula>2</calculatedColumnFormula>
    </tableColumn>
    <tableColumn id="2" xr3:uid="{8F857F81-4D32-409E-8895-3E7CFE53511C}" name="Species / morphology code (select from above)" dataDxfId="490"/>
    <tableColumn id="3" xr3:uid="{B6399D05-1380-4A6D-80E6-AA240C631192}" name="height s (mm)" dataDxfId="489"/>
    <tableColumn id="4" xr3:uid="{DC142188-7A38-4249-B44D-0BE8969DFFCA}" name="width s (mm)" dataDxfId="488"/>
    <tableColumn id="5" xr3:uid="{64BAC1A9-BE3B-41B4-8CCD-B6B26AEE2990}" name="height h (mm)" dataDxfId="487"/>
    <tableColumn id="6" xr3:uid="{60ABEEDE-4E06-437B-ABC9-93731D610548}" name="width w (mm)" dataDxfId="486"/>
    <tableColumn id="7" xr3:uid="{918269E9-87E5-459C-BD40-E29E3352B1EE}" name="depth d (mm)" dataDxfId="485"/>
    <tableColumn id="8" xr3:uid="{91C60B03-83A8-4D5A-BAC3-925908F716AD}" name="Radius stem (mm)" dataDxfId="484">
      <calculatedColumnFormula>D43*0.5</calculatedColumnFormula>
    </tableColumn>
    <tableColumn id="9" xr3:uid="{1C464B44-D89A-4E28-A07A-A18284E0FE3E}" name="Volume of stem cylinder (cm3)" dataDxfId="483">
      <calculatedColumnFormula>(PI()*(H43*H43)*C43)/1000</calculatedColumnFormula>
    </tableColumn>
    <tableColumn id="10" xr3:uid="{94CB28C9-C2D1-4551-B97A-1F32EE5CA563}" name="Volume of head if cone (cm3)" dataDxfId="482">
      <calculatedColumnFormula>((PI()*(F43*0.5)*(G43*0.5)*E43)/3)/1000</calculatedColumnFormula>
    </tableColumn>
    <tableColumn id="11" xr3:uid="{198D2D06-3EB7-4471-B670-F78DF9B7FD54}" name="Volume of head if triangular prism (cm3)" dataDxfId="481">
      <calculatedColumnFormula>(((E43*F43)*G43)*0.5)/1000</calculatedColumnFormula>
    </tableColumn>
    <tableColumn id="12" xr3:uid="{10BA91ED-ACA9-4930-A151-CA02FB78EE4B}" name="Total thallus volume (cm3)" dataDxfId="480">
      <calculatedColumnFormula>IFERROR(IF(VLOOKUP(B43,UdoteaInitialMetrics,2,FALSE) = "Vase-shaped", (I43+J43), IF(VLOOKUP(B43, UdoteaInitialMetrics,2,FALSE) = "Fan-shaped", (I43+K43), "")),"")</calculatedColumnFormula>
    </tableColumn>
    <tableColumn id="13" xr3:uid="{1A001CCB-5EA6-4575-A4F8-EEAAFAA2DB2D}" name="CaCO3 (g) v volume relationship" dataDxfId="479">
      <calculatedColumnFormula>IF(B43=1,$E$11,IF(B43=2,$E$12,IF(B43=3,0,IF(B43=4,0,""))))</calculatedColumnFormula>
    </tableColumn>
    <tableColumn id="14" xr3:uid="{B0087FA0-61E6-402C-A8C3-CFEF2B8B7C0D}" name="Crops per year" dataDxfId="478">
      <calculatedColumnFormula>IF(B43=1,$H$11,IF(B43=2,$H$12,IF(B43=3,$H$13,IF(B43=4,$H$14,""))))</calculatedColumnFormula>
    </tableColumn>
    <tableColumn id="15" xr3:uid="{ED37479C-5FEE-4369-B4D2-88DF21AA4169}" name="CaCO3 prod (g) /thallus/yr" dataDxfId="477">
      <calculatedColumnFormula>IFERROR((L43*M43)*N43, "")</calculatedColumnFormula>
    </tableColumn>
    <tableColumn id="16" xr3:uid="{744782D8-2608-4261-A440-2140EF9A7CBA}" name="g CaCO3/m2/yr" dataDxfId="476">
      <calculatedColumnFormula>IFERROR(O43*(1/$B$6), "")</calculatedColumnFormula>
    </tableColumn>
    <tableColumn id="17" xr3:uid="{11B73E29-C2CA-4807-BFFF-8DBCFC8332C6}" name="kg CaCO3/m2/yr" dataDxfId="475">
      <calculatedColumnFormula>IFERROR(P43/1000,"")</calculatedColumnFormula>
    </tableColumn>
    <tableColumn id="18" xr3:uid="{611D5A8D-0BDA-40C8-8210-F028B69F7CBB}" name="." dataDxfId="474"/>
    <tableColumn id="19" xr3:uid="{54E893F7-69CE-4DCF-8E54-B38D23D70358}" name="Species 1" dataDxfId="473">
      <calculatedColumnFormula>IF(B43=1, Q43,"")</calculatedColumnFormula>
    </tableColumn>
    <tableColumn id="20" xr3:uid="{DB91164C-2C2A-4107-95EB-4822F0203573}" name="Species 2" dataDxfId="472">
      <calculatedColumnFormula>IF(B43=2, Q43,"")</calculatedColumnFormula>
    </tableColumn>
    <tableColumn id="21" xr3:uid="{23345A98-CAD0-4C73-BCDC-0189941A3875}" name="Species 3" dataDxfId="471">
      <calculatedColumnFormula>IF(B43=3, Q43,"")</calculatedColumnFormula>
    </tableColumn>
    <tableColumn id="22" xr3:uid="{35AA0E45-473A-4567-9299-2C92F270077F}" name="Species 4" dataDxfId="470">
      <calculatedColumnFormula>IF(B43=4, Q43,"")</calculatedColumnFormula>
    </tableColumn>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4A72044F-ABE9-472D-97C8-7B8F2031100D}" name="TableU3" displayName="TableU3" ref="A58:V68" totalsRowShown="0" headerRowDxfId="469" dataDxfId="468" tableBorderDxfId="467">
  <tableColumns count="22">
    <tableColumn id="1" xr3:uid="{76230721-182C-4A38-B631-31B7D1E00536}" name="Quadrat #" dataDxfId="466">
      <calculatedColumnFormula>3</calculatedColumnFormula>
    </tableColumn>
    <tableColumn id="2" xr3:uid="{A0F26557-F02F-4C2D-984E-E1DD569F3A2F}" name="Species / morphology code (select from above)" dataDxfId="465"/>
    <tableColumn id="3" xr3:uid="{6C1A4B8D-7446-49E3-A083-8FF0FDD75E7A}" name="height s (mm)" dataDxfId="464"/>
    <tableColumn id="4" xr3:uid="{272E7E80-AB9C-4E8B-84CF-27BCCCBD0BCE}" name="width s (mm)" dataDxfId="463"/>
    <tableColumn id="5" xr3:uid="{6A42386A-9D2E-4CAD-9201-280776170092}" name="height h (mm)" dataDxfId="462"/>
    <tableColumn id="6" xr3:uid="{2FF26B78-63DC-4D86-B2F1-9C0750D43C4F}" name="width w (mm)" dataDxfId="461"/>
    <tableColumn id="7" xr3:uid="{8EE26F6B-5703-4B27-8D34-4675A0AC1B1C}" name="depth d (mm)" dataDxfId="460"/>
    <tableColumn id="8" xr3:uid="{E8F4DDF0-EE4A-4D48-8F65-EF1C3CAA2A52}" name="Radius stem (mm)" dataDxfId="459">
      <calculatedColumnFormula>D59*0.5</calculatedColumnFormula>
    </tableColumn>
    <tableColumn id="9" xr3:uid="{005C801F-4C73-4C17-80CE-642492DB9968}" name="Volume of stem cylinder (cm3)" dataDxfId="458">
      <calculatedColumnFormula>(PI()*(H59*H59)*C59)/1000</calculatedColumnFormula>
    </tableColumn>
    <tableColumn id="10" xr3:uid="{D04614F4-7FDB-4601-9F0D-2A6F774C8447}" name="Volume of head if cone (cm3)" dataDxfId="457">
      <calculatedColumnFormula>((PI()*(F59*0.5)*(G59*0.5)*E59)/3)/1000</calculatedColumnFormula>
    </tableColumn>
    <tableColumn id="11" xr3:uid="{B645D5DE-D7D8-46E5-B8EF-B586B41457CA}" name="Volume of head if triangular prism (cm3)" dataDxfId="456">
      <calculatedColumnFormula>(((E59*F59)*G59)*0.5)/1000</calculatedColumnFormula>
    </tableColumn>
    <tableColumn id="12" xr3:uid="{8A2CD31F-096D-44E5-92BF-DE487B66B74F}" name="Total thallus volume (cm3)" dataDxfId="455">
      <calculatedColumnFormula>IFERROR(IF(VLOOKUP(B59,UdoteaInitialMetrics,2,FALSE) = "Vase-shaped", (I59+J59), IF(VLOOKUP(B59, UdoteaInitialMetrics,2,FALSE) = "Fan-shaped", (I59+K59), "")),"")</calculatedColumnFormula>
    </tableColumn>
    <tableColumn id="13" xr3:uid="{622726F8-5F1C-48A5-B686-932F7531C350}" name="CaCO3 (g) v volume relationship" dataDxfId="454">
      <calculatedColumnFormula>IF(B59=1,$E$11,IF(B59=2,$E$12,IF(B59=3,0,IF(B59=4,0,""))))</calculatedColumnFormula>
    </tableColumn>
    <tableColumn id="14" xr3:uid="{2AE0865C-18DE-4616-8BB6-6CEC8E91C36F}" name="Crops per year" dataDxfId="453">
      <calculatedColumnFormula>IF(B59=1,$H$11,IF(B59=2,$H$12,IF(B59=3,$H$13,IF(B59=4,$H$14,""))))</calculatedColumnFormula>
    </tableColumn>
    <tableColumn id="15" xr3:uid="{36BAA943-43D1-4DF4-A478-89BBF8F22C0A}" name="CaCO3 prod (g) /thallus/yr" dataDxfId="452">
      <calculatedColumnFormula>IFERROR((L59*M59)*N59, "")</calculatedColumnFormula>
    </tableColumn>
    <tableColumn id="16" xr3:uid="{25F717E5-2E9C-4C22-A42F-8E7662F72E1C}" name="g CaCO3/m2/yr" dataDxfId="451">
      <calculatedColumnFormula>IFERROR(O59*(1/$B$6), "")</calculatedColumnFormula>
    </tableColumn>
    <tableColumn id="17" xr3:uid="{E49D0B67-3427-4AE2-AABF-D9C326FAAFAC}" name="kg CaCO3/m2/yr" dataDxfId="450">
      <calculatedColumnFormula>IFERROR(P59/1000,"")</calculatedColumnFormula>
    </tableColumn>
    <tableColumn id="18" xr3:uid="{7B9D1F0C-13AA-4377-8B1B-5A71A784E932}" name="." dataDxfId="449"/>
    <tableColumn id="19" xr3:uid="{159F7B00-CAD7-4950-8E26-FA194704C09E}" name="Species 1" dataDxfId="448">
      <calculatedColumnFormula>IF(B59=1, Q59,"")</calculatedColumnFormula>
    </tableColumn>
    <tableColumn id="20" xr3:uid="{C5C9C6F1-D34D-4284-95AD-5E22E945862D}" name="Species 2" dataDxfId="447">
      <calculatedColumnFormula>IF(B59=2, Q59,"")</calculatedColumnFormula>
    </tableColumn>
    <tableColumn id="21" xr3:uid="{DBB04515-F5BE-431F-A486-DFFD81B9D836}" name="Species 3" dataDxfId="446">
      <calculatedColumnFormula>IF(B59=3, Q59,"")</calculatedColumnFormula>
    </tableColumn>
    <tableColumn id="22" xr3:uid="{585EE4A3-BECE-4DB8-B2F9-53ACC21512A6}" name="Species 4" dataDxfId="445">
      <calculatedColumnFormula>IF(B59=4, Q59,"")</calculatedColumnFormula>
    </tableColumn>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72D2D9C7-4ED9-438D-BCD8-B84D5E0CD3E7}" name="TableU4" displayName="TableU4" ref="A74:V84" totalsRowShown="0" headerRowDxfId="444" dataDxfId="443" tableBorderDxfId="442">
  <tableColumns count="22">
    <tableColumn id="1" xr3:uid="{07AEB75C-0EC1-4147-BA49-F51D11F2C12A}" name="Quadrat #" dataDxfId="441">
      <calculatedColumnFormula>4</calculatedColumnFormula>
    </tableColumn>
    <tableColumn id="2" xr3:uid="{EC8DF2A6-08F5-4469-9E4B-2148EE22E2C0}" name="Species / morphology code (select from above)" dataDxfId="440"/>
    <tableColumn id="3" xr3:uid="{5533E2CC-8621-43D9-9706-9DF08FE9E956}" name="height s (mm)" dataDxfId="439"/>
    <tableColumn id="4" xr3:uid="{BF55B217-D64C-4F8D-BA11-226E88FB1A3E}" name="width s (mm)" dataDxfId="438"/>
    <tableColumn id="5" xr3:uid="{2E4809BF-C990-4AB1-87C4-2688EA49D662}" name="height h (mm)" dataDxfId="437"/>
    <tableColumn id="6" xr3:uid="{392AB809-A65E-41BB-8685-C14F570BBF98}" name="width w (mm)" dataDxfId="436"/>
    <tableColumn id="7" xr3:uid="{08F1BA0E-8F36-4191-99A0-2BFF5CFEAF60}" name="depth d (mm)" dataDxfId="435"/>
    <tableColumn id="8" xr3:uid="{1048B0AF-1486-4ABD-90F5-177CB2391FFC}" name="Radius stem (mm)" dataDxfId="434">
      <calculatedColumnFormula>D75*0.5</calculatedColumnFormula>
    </tableColumn>
    <tableColumn id="9" xr3:uid="{9EB1A0FB-27B9-4F42-8DCA-CB4F753B416A}" name="Volume of stem cylinder (cm3)" dataDxfId="433">
      <calculatedColumnFormula>(PI()*(H75*H75)*C75)/1000</calculatedColumnFormula>
    </tableColumn>
    <tableColumn id="10" xr3:uid="{730A95E1-5F51-407A-9EBE-5E9E627E8CCE}" name="Volume of head if cone (cm3)" dataDxfId="432">
      <calculatedColumnFormula>((PI()*(F75*0.5)*(G75*0.5)*E75)/3)/1000</calculatedColumnFormula>
    </tableColumn>
    <tableColumn id="11" xr3:uid="{2A63B347-2DD3-4B14-9A18-C3E7417AF567}" name="Volume of head if triangular prism (cm3)" dataDxfId="431">
      <calculatedColumnFormula>(((E75*F75)*G75)*0.5)/1000</calculatedColumnFormula>
    </tableColumn>
    <tableColumn id="12" xr3:uid="{AC5FBBCD-C1BB-4453-97A1-3B6D8D5A38F8}" name="Total thallus volume (cm3)" dataDxfId="430">
      <calculatedColumnFormula>IFERROR(IF(VLOOKUP(B75,UdoteaInitialMetrics,2,FALSE) = "Vase-shaped", (I75+J75), IF(VLOOKUP(B75, UdoteaInitialMetrics,2,FALSE) = "Fan-shaped", (I75+K75), "")),"")</calculatedColumnFormula>
    </tableColumn>
    <tableColumn id="13" xr3:uid="{2E304AAB-8253-433F-AC32-71294F398E0C}" name="CaCO3 (g) v volume relationship" dataDxfId="429">
      <calculatedColumnFormula>IF(B75=1,$E$11,IF(B75=2,$E$12,IF(B75=3,0,IF(B75=4,0,""))))</calculatedColumnFormula>
    </tableColumn>
    <tableColumn id="14" xr3:uid="{6B54CF8B-4C38-4D84-8EDC-8ED09119D111}" name="Crops per year" dataDxfId="428">
      <calculatedColumnFormula>IF(B75=1,$H$11,IF(B75=2,$H$12,IF(B75=3,$H$13,IF(B75=4,$H$14,""))))</calculatedColumnFormula>
    </tableColumn>
    <tableColumn id="15" xr3:uid="{52D9245A-86DF-4A7B-A348-452DFAD69789}" name="CaCO3 prod (g) /thallus/yr" dataDxfId="427">
      <calculatedColumnFormula>IFERROR((L75*M75)*N75, "")</calculatedColumnFormula>
    </tableColumn>
    <tableColumn id="16" xr3:uid="{3E6E02F2-C01B-4CEF-9DCC-4D5313D2B217}" name="g CaCO3/m2/yr" dataDxfId="426">
      <calculatedColumnFormula>IFERROR(O75*(1/$B$6), "")</calculatedColumnFormula>
    </tableColumn>
    <tableColumn id="17" xr3:uid="{3A402804-28DF-4141-AC24-9E8B9DA43F3D}" name="kg CaCO3/m2/yr" dataDxfId="425">
      <calculatedColumnFormula>IFERROR(P75/1000,"")</calculatedColumnFormula>
    </tableColumn>
    <tableColumn id="18" xr3:uid="{4848F8EC-A68A-4120-AF77-027507427C55}" name="." dataDxfId="424"/>
    <tableColumn id="19" xr3:uid="{C883BF11-08CE-42EC-A075-984D887E56B6}" name="Species 1" dataDxfId="423">
      <calculatedColumnFormula>IF(B75=1, Q75,"")</calculatedColumnFormula>
    </tableColumn>
    <tableColumn id="20" xr3:uid="{9FF15EEB-9581-41F4-AE63-2857144AE861}" name="Species 2" dataDxfId="422">
      <calculatedColumnFormula>IF(B75=2, Q75,"")</calculatedColumnFormula>
    </tableColumn>
    <tableColumn id="21" xr3:uid="{575547CA-96D9-4EEB-BC6C-96F99B3BCBB9}" name="Species 3" dataDxfId="421">
      <calculatedColumnFormula>IF(B75=3, Q75,"")</calculatedColumnFormula>
    </tableColumn>
    <tableColumn id="22" xr3:uid="{34C59C92-54B0-4B94-B725-2A357144B525}" name="Species 4" dataDxfId="420">
      <calculatedColumnFormula>IF(B75=4, Q75,"")</calculatedColumnFormula>
    </tableColumn>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7FCDD39A-2D06-4ADE-97E1-CF919B4338E6}" name="TableU5" displayName="TableU5" ref="A90:V100" totalsRowShown="0" headerRowDxfId="419" dataDxfId="418" tableBorderDxfId="417">
  <tableColumns count="22">
    <tableColumn id="1" xr3:uid="{446D887E-109C-4ACB-A360-958462EDA78F}" name="Quadrat #" dataDxfId="416">
      <calculatedColumnFormula>5</calculatedColumnFormula>
    </tableColumn>
    <tableColumn id="2" xr3:uid="{66738DC9-E0E4-48EE-870B-7CDBAD98E295}" name="Species / morphology code (select from above)" dataDxfId="415"/>
    <tableColumn id="3" xr3:uid="{A3EA9024-08BC-4C11-AD2A-3962B65D7427}" name="height s (mm)" dataDxfId="414"/>
    <tableColumn id="4" xr3:uid="{AEEE3143-6EB9-42C2-89C0-DAD7FC740136}" name="width s (mm)" dataDxfId="413"/>
    <tableColumn id="5" xr3:uid="{6EAA3C14-E705-465E-9C81-44B4048339A1}" name="height h (mm)" dataDxfId="412"/>
    <tableColumn id="6" xr3:uid="{0A3C61E0-CFA9-4D12-AFC3-D5021FC5B7A1}" name="width w (mm)" dataDxfId="411"/>
    <tableColumn id="7" xr3:uid="{8E0DA389-5F1B-4BAC-A74C-0A5AC95D0EED}" name="depth d (mm)" dataDxfId="410"/>
    <tableColumn id="8" xr3:uid="{84D56360-4868-4AC8-8EAF-8A1A1488DC1C}" name="Radius stem (mm)" dataDxfId="409">
      <calculatedColumnFormula>D91*0.5</calculatedColumnFormula>
    </tableColumn>
    <tableColumn id="9" xr3:uid="{3C502EA0-3EA2-497E-BDBA-1E0DCFF56439}" name="Volume of stem cylinder (cm3)" dataDxfId="408">
      <calculatedColumnFormula>(PI()*(H91*H91)*C91)/1000</calculatedColumnFormula>
    </tableColumn>
    <tableColumn id="10" xr3:uid="{D0ADFFDC-5FF7-45DF-95F5-D951BD37AD9D}" name="Volume of head if cone (cm3)" dataDxfId="407">
      <calculatedColumnFormula>((PI()*(F91*0.5)*(G91*0.5)*E91)/3)/1000</calculatedColumnFormula>
    </tableColumn>
    <tableColumn id="11" xr3:uid="{A11E8FB8-6868-4A74-A554-A7DC8B95EF1B}" name="Volume of head if triangular prism (cm3)" dataDxfId="406">
      <calculatedColumnFormula>(((E91*F91)*G91)*0.5)/1000</calculatedColumnFormula>
    </tableColumn>
    <tableColumn id="12" xr3:uid="{E7CFBEB4-FF3B-486C-84FC-E49B8CCDEEF5}" name="Total thallus volume (cm3)" dataDxfId="405">
      <calculatedColumnFormula>IFERROR(IF(VLOOKUP(B91,UdoteaInitialMetrics,2,FALSE) = "Vase-shaped", (I91+J91), IF(VLOOKUP(B91, UdoteaInitialMetrics,2,FALSE) = "Fan-shaped", (I91+K91), "")),"")</calculatedColumnFormula>
    </tableColumn>
    <tableColumn id="13" xr3:uid="{723D6B22-5F8F-481D-B836-F043DE538AD9}" name="CaCO3 (g) to volume relationship" dataDxfId="404">
      <calculatedColumnFormula>IF(B91=1,$E$11,IF(B91=2,$E$12,IF(B91=3,0,IF(B91=4,0,""))))</calculatedColumnFormula>
    </tableColumn>
    <tableColumn id="14" xr3:uid="{D202D810-02CA-46C1-A046-CDB897C91314}" name="Crops per year" dataDxfId="403">
      <calculatedColumnFormula>IF(B91=1,$H$11,IF(B91=2,$H$12,IF(B91=3,$H$13,IF(B91=4,$H$14,""))))</calculatedColumnFormula>
    </tableColumn>
    <tableColumn id="15" xr3:uid="{A4A25EE7-E2B1-4B6A-B3F9-8DD81CFF707D}" name="CaCO3 prod (g) /thallus/yr" dataDxfId="402">
      <calculatedColumnFormula>IFERROR((L91*M91)*N91, "")</calculatedColumnFormula>
    </tableColumn>
    <tableColumn id="16" xr3:uid="{EF4F289E-7D71-4D18-8497-4811D6450244}" name="g CaCO3/m2/yr" dataDxfId="401">
      <calculatedColumnFormula>IFERROR(O91*(1/$B$6), "")</calculatedColumnFormula>
    </tableColumn>
    <tableColumn id="17" xr3:uid="{6E95F51F-A618-4441-9159-E66F63FC49DE}" name="kg CaCO3/m2/yr" dataDxfId="400">
      <calculatedColumnFormula>IFERROR(P91/1000,"")</calculatedColumnFormula>
    </tableColumn>
    <tableColumn id="18" xr3:uid="{5B303E9E-5285-4F59-8049-96CE9FBC515F}" name="." dataDxfId="399"/>
    <tableColumn id="19" xr3:uid="{27B16B8E-8240-4700-AA54-EFF5AD7B944F}" name="Species 1" dataDxfId="398">
      <calculatedColumnFormula>IF(B91=1, Q91,"")</calculatedColumnFormula>
    </tableColumn>
    <tableColumn id="20" xr3:uid="{E52C0508-B8CB-4DC3-86A0-48A8D7F89034}" name="Species 2" dataDxfId="397">
      <calculatedColumnFormula>IF(B91=2, Q91,"")</calculatedColumnFormula>
    </tableColumn>
    <tableColumn id="21" xr3:uid="{E03F684D-2EBA-41AB-AEFC-16B586F41CF3}" name="Species 3" dataDxfId="396">
      <calculatedColumnFormula>IF(B91=3, Q91,"")</calculatedColumnFormula>
    </tableColumn>
    <tableColumn id="22" xr3:uid="{6CD81831-15EF-470F-B61B-A47DBDB3F06C}" name="Species 4" dataDxfId="395">
      <calculatedColumnFormula>IF(B91=4, Q91,"")</calculatedColumnFormula>
    </tableColumn>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B04EA5BC-0C91-494B-9AD4-3EE9B47C66FA}" name="TableU6" displayName="TableU6" ref="A106:V116" totalsRowShown="0" headerRowDxfId="394" dataDxfId="393" tableBorderDxfId="392">
  <tableColumns count="22">
    <tableColumn id="1" xr3:uid="{2DF1554B-2E39-404B-B0A3-8903960E8B8E}" name="Quadrat #" dataDxfId="391">
      <calculatedColumnFormula>6</calculatedColumnFormula>
    </tableColumn>
    <tableColumn id="2" xr3:uid="{582D82B6-0BE7-4AA0-97A5-C697D4B76FC4}" name="Species / morphology code (select from above)" dataDxfId="390"/>
    <tableColumn id="3" xr3:uid="{AAF251FC-AD15-4E17-A7BC-427AE7464C7B}" name="height s (mm)" dataDxfId="389"/>
    <tableColumn id="4" xr3:uid="{4347D088-44EE-46B4-BA92-6981FF7ED608}" name="width s (mm)" dataDxfId="388"/>
    <tableColumn id="5" xr3:uid="{93FFB25A-F219-419E-B263-F9BE9139605E}" name="height h (mm)" dataDxfId="387"/>
    <tableColumn id="6" xr3:uid="{A2A567B7-A043-4581-A102-D3C355B8AFED}" name="width w (mm)" dataDxfId="386"/>
    <tableColumn id="7" xr3:uid="{0B2F4022-15DA-4EB4-B5F8-D2E0A78502D4}" name="depth d (mm)" dataDxfId="385"/>
    <tableColumn id="8" xr3:uid="{91C1D9E3-1680-45EE-B681-2FE33FF4DD60}" name="Radius stem (mm)" dataDxfId="384">
      <calculatedColumnFormula>D107*0.5</calculatedColumnFormula>
    </tableColumn>
    <tableColumn id="9" xr3:uid="{2EF238D2-B328-44B9-9892-36495E5B9878}" name="Volume of stem cylinder (cm3)" dataDxfId="383">
      <calculatedColumnFormula>(PI()*(H107*H107)*C107)/1000</calculatedColumnFormula>
    </tableColumn>
    <tableColumn id="10" xr3:uid="{1D285921-BE74-4DB8-8F73-B8BB0C8A6811}" name="Volume of head if cone (cm3)" dataDxfId="382">
      <calculatedColumnFormula>((PI()*(F107*0.5)*(G107*0.5)*E107)/3)/1000</calculatedColumnFormula>
    </tableColumn>
    <tableColumn id="11" xr3:uid="{7DC010B2-9E26-4935-ADA3-7F811BB5DD2C}" name="Volume of head if triangular prism (cm3)" dataDxfId="381">
      <calculatedColumnFormula>(((E107*F107)*G107)*0.5)/1000</calculatedColumnFormula>
    </tableColumn>
    <tableColumn id="12" xr3:uid="{F799937B-6461-4EC0-81FF-750F80660ABD}" name="Total thallus volume (cm3)" dataDxfId="380">
      <calculatedColumnFormula>IFERROR(IF(VLOOKUP(B107,UdoteaInitialMetrics,2,FALSE) = "Vase-shaped", (I107+J107), IF(VLOOKUP(B107, UdoteaInitialMetrics,2,FALSE) = "Fan-shaped", (I107+K107), "")),"")</calculatedColumnFormula>
    </tableColumn>
    <tableColumn id="13" xr3:uid="{D64ADCEF-C50E-4A51-A1CE-1AFC480669E3}" name="CaCO3 (g) v volume relationship" dataDxfId="379">
      <calculatedColumnFormula>IF(B107=1,$E$11,IF(B107=2,$E$12,IF(B107=3,0,IF(B107=4,0,""))))</calculatedColumnFormula>
    </tableColumn>
    <tableColumn id="14" xr3:uid="{9FE2E7A6-8017-48A7-B1A1-077C25F32AEC}" name="Crops per year" dataDxfId="378">
      <calculatedColumnFormula>IF(B107=1,$H$11,IF(B107=2,$H$12,IF(B107=3,$H$13,IF(B107=4,$H$14,""))))</calculatedColumnFormula>
    </tableColumn>
    <tableColumn id="15" xr3:uid="{46314AE8-2CA0-40E3-9470-FB1B6C286485}" name="CaCO3 prod (g) /thallus/yr" dataDxfId="377">
      <calculatedColumnFormula>IFERROR((L107*M107)*N107, "")</calculatedColumnFormula>
    </tableColumn>
    <tableColumn id="16" xr3:uid="{C42F7AD2-97E4-41D5-B6C8-39A49967B7B3}" name="g CaCO3/m2/yr" dataDxfId="376">
      <calculatedColumnFormula>IFERROR(O107*(1/$B$6), "")</calculatedColumnFormula>
    </tableColumn>
    <tableColumn id="17" xr3:uid="{3402A196-F5F4-424B-BB8F-6CF6C5251152}" name="kg CaCO3/m2/yr" dataDxfId="375">
      <calculatedColumnFormula>IFERROR(P107/1000,"")</calculatedColumnFormula>
    </tableColumn>
    <tableColumn id="18" xr3:uid="{CCE89F70-BABB-4D24-8AA0-CE2793779838}" name="." dataDxfId="374"/>
    <tableColumn id="19" xr3:uid="{298989E8-2DEE-4F49-9BCA-52050EC37CC2}" name="Species 1" dataDxfId="373">
      <calculatedColumnFormula>IF(B107=1, Q107,"")</calculatedColumnFormula>
    </tableColumn>
    <tableColumn id="20" xr3:uid="{7382DFAA-C790-4ACD-A716-5E2C2D9F05BF}" name="Species 2" dataDxfId="372">
      <calculatedColumnFormula>IF(B107=2, Q107,"")</calculatedColumnFormula>
    </tableColumn>
    <tableColumn id="21" xr3:uid="{1447FE9D-CE0F-4A85-83DB-C85B8E91B838}" name="Species 3" dataDxfId="371">
      <calculatedColumnFormula>IF(B107=3, Q107,"")</calculatedColumnFormula>
    </tableColumn>
    <tableColumn id="22" xr3:uid="{A63E0737-356F-4716-A5FE-25681E74FAD5}" name="Species 4" dataDxfId="370">
      <calculatedColumnFormula>IF(B107=4, Q107,"")</calculatedColumnFormula>
    </tableColumn>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D295F3BC-488E-4545-9C4D-6131B2827A6E}" name="TableU7" displayName="TableU7" ref="A122:V132" totalsRowShown="0" headerRowDxfId="369" dataDxfId="368" tableBorderDxfId="367">
  <tableColumns count="22">
    <tableColumn id="1" xr3:uid="{40C70B42-F670-493A-A0D1-6FFEAC16A80A}" name="Quadrat #" dataDxfId="366">
      <calculatedColumnFormula>7</calculatedColumnFormula>
    </tableColumn>
    <tableColumn id="2" xr3:uid="{7ABF27C8-BF81-4F34-A0D7-5DEAA08E7A5C}" name="Species / morphology code (select from above)" dataDxfId="365"/>
    <tableColumn id="3" xr3:uid="{11E16056-5E57-41F3-B4CB-9E54B37817C7}" name="height s (mm)" dataDxfId="364"/>
    <tableColumn id="4" xr3:uid="{8F38194C-77BA-4473-80CD-DA22E95AFDDD}" name="width s (mm)" dataDxfId="363"/>
    <tableColumn id="5" xr3:uid="{13B757C0-4B86-477E-BD76-1D12BE933DFB}" name="height h (mm)" dataDxfId="362"/>
    <tableColumn id="6" xr3:uid="{03D59C05-B310-4432-9566-070F452F5284}" name="width w (mm)" dataDxfId="361"/>
    <tableColumn id="7" xr3:uid="{81B56886-1E89-460C-8754-99529C481E4C}" name="depth d (mm)" dataDxfId="360"/>
    <tableColumn id="8" xr3:uid="{44351133-2779-4983-9696-991DA9CFBFB1}" name="Radius stem (mm)" dataDxfId="359">
      <calculatedColumnFormula>D123*0.5</calculatedColumnFormula>
    </tableColumn>
    <tableColumn id="9" xr3:uid="{C0FDB1A6-6DF7-45E0-B603-2E58ED1CD20C}" name="Volume of stem cylinder (cm3)" dataDxfId="358">
      <calculatedColumnFormula>(PI()*(H123*H123)*C123)/1000</calculatedColumnFormula>
    </tableColumn>
    <tableColumn id="10" xr3:uid="{6F8E14C2-304E-42B2-A189-8A2B0AED2A8B}" name="Volume of head if cone (cm3)" dataDxfId="357">
      <calculatedColumnFormula>((PI()*(F123*0.5)*(G123*0.5)*E123)/3)/1000</calculatedColumnFormula>
    </tableColumn>
    <tableColumn id="11" xr3:uid="{1B976848-C48C-4EBF-9CF6-86033A0B383E}" name="Volume of head if triangular prism (cm3)" dataDxfId="356">
      <calculatedColumnFormula>(((E123*F123)*G123)*0.5)/1000</calculatedColumnFormula>
    </tableColumn>
    <tableColumn id="12" xr3:uid="{DABEC2DE-BDD6-4DC8-81C8-347E4B188BB3}" name="Total thallus volume (cm3)" dataDxfId="355">
      <calculatedColumnFormula>IFERROR(IF(VLOOKUP(B123,UdoteaInitialMetrics,2,FALSE) = "Vase-shaped", (I123+J123), IF(VLOOKUP(B123, UdoteaInitialMetrics,2,FALSE) = "Fan-shaped", (I123+K123), "")),"")</calculatedColumnFormula>
    </tableColumn>
    <tableColumn id="13" xr3:uid="{D75F72D6-8BED-4BF2-90B5-CDF7D90CE7B0}" name="CaCO3 (g) v volume relationship" dataDxfId="354">
      <calculatedColumnFormula>IF(B123=1,$E$11,IF(B123=2,$E$12,IF(B123=3,0,IF(B123=4,0,""))))</calculatedColumnFormula>
    </tableColumn>
    <tableColumn id="14" xr3:uid="{48D5A926-E7F7-498C-AAAA-B5381C3E7C7B}" name="Crops per year" dataDxfId="353">
      <calculatedColumnFormula>IF(B123=1,$H$11,IF(B123=2,$H$12,IF(B123=3,$H$13,IF(B123=4,$H$14,""))))</calculatedColumnFormula>
    </tableColumn>
    <tableColumn id="15" xr3:uid="{8E4F7E86-1C7F-4C9C-8816-CD69E9A7DF35}" name="CaCO3 prod (g) /thallus/yr" dataDxfId="352">
      <calculatedColumnFormula>IFERROR((L123*M123)*N123, "")</calculatedColumnFormula>
    </tableColumn>
    <tableColumn id="16" xr3:uid="{CEBBEFBC-4F4E-45B5-A8B8-5ACA0FAD68D6}" name="g CaCO3/m2/yr" dataDxfId="351">
      <calculatedColumnFormula>IFERROR(O123*(1/$B$6), "")</calculatedColumnFormula>
    </tableColumn>
    <tableColumn id="17" xr3:uid="{670AC0E9-CBF0-4644-9B1F-3E067DABD20F}" name="kg CaCO3/m2/yr" dataDxfId="350">
      <calculatedColumnFormula>IFERROR(P123/1000,"")</calculatedColumnFormula>
    </tableColumn>
    <tableColumn id="18" xr3:uid="{3D96505C-02E9-4C80-89DC-EE6A8A99F21B}" name="." dataDxfId="349"/>
    <tableColumn id="19" xr3:uid="{34C449D7-32EC-4C7E-B99A-6A969F60843B}" name="Species 1" dataDxfId="348">
      <calculatedColumnFormula>IF(B123=1, Q123,"")</calculatedColumnFormula>
    </tableColumn>
    <tableColumn id="20" xr3:uid="{84A0CF51-414E-40B9-BF56-A255B693D733}" name="Species 2" dataDxfId="347">
      <calculatedColumnFormula>IF(B123=2, Q123,"")</calculatedColumnFormula>
    </tableColumn>
    <tableColumn id="21" xr3:uid="{1AC896CD-9967-4112-92CA-79030ACD083A}" name="Species 3" dataDxfId="346">
      <calculatedColumnFormula>IF(B123=3, Q123,"")</calculatedColumnFormula>
    </tableColumn>
    <tableColumn id="22" xr3:uid="{C7F95A71-FB86-429D-BE9A-4C56D0F60189}" name="Species 4" dataDxfId="345">
      <calculatedColumnFormula>IF(B123=4, Q123,"")</calculatedColumnFormula>
    </tableColumn>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BBF608D5-38C9-41FC-ADBB-1924762E8D95}" name="TableU8" displayName="TableU8" ref="A138:V148" totalsRowShown="0" headerRowDxfId="344" dataDxfId="343" tableBorderDxfId="342">
  <tableColumns count="22">
    <tableColumn id="1" xr3:uid="{30B897AB-5FE5-4765-9038-6BE9F7460A52}" name="Quadrat #" dataDxfId="341">
      <calculatedColumnFormula>8</calculatedColumnFormula>
    </tableColumn>
    <tableColumn id="2" xr3:uid="{F01C074D-972E-416B-B91A-5915E393C009}" name="Species / morphology code (select from above)" dataDxfId="340"/>
    <tableColumn id="3" xr3:uid="{EBC4FC2F-ECDB-4015-926D-229AB8F1621A}" name="height s (mm)" dataDxfId="339"/>
    <tableColumn id="4" xr3:uid="{91BC960C-D6F0-4E0E-B8DB-AB238BFD6C8A}" name="width s (mm)" dataDxfId="338"/>
    <tableColumn id="5" xr3:uid="{8391B809-B82D-4DBC-844F-BACF30F275C8}" name="height h (mm)" dataDxfId="337"/>
    <tableColumn id="6" xr3:uid="{7F4DF160-AC2A-4CE1-B65E-037F65984977}" name="width w (mm)" dataDxfId="336"/>
    <tableColumn id="7" xr3:uid="{65395A63-0D04-4289-8C80-95223236CB1F}" name="depth d (mm)" dataDxfId="335"/>
    <tableColumn id="8" xr3:uid="{00E2C99C-CAFE-4178-93D2-C22215A1E734}" name="Radius stem (mm)" dataDxfId="334">
      <calculatedColumnFormula>D139*0.5</calculatedColumnFormula>
    </tableColumn>
    <tableColumn id="9" xr3:uid="{1BF0F473-6652-4452-8660-22686292EF76}" name="Volume of stem cylinder (cm3)" dataDxfId="333">
      <calculatedColumnFormula>(PI()*(H139*H139)*C139)/1000</calculatedColumnFormula>
    </tableColumn>
    <tableColumn id="10" xr3:uid="{9201A50F-1FEF-4F22-8E2C-3AF99E2E382A}" name="Volume of head if cone (cm3)" dataDxfId="332">
      <calculatedColumnFormula>((PI()*(F139*0.5)*(G139*0.5)*E139)/3)/1000</calculatedColumnFormula>
    </tableColumn>
    <tableColumn id="11" xr3:uid="{4D989FA2-A65E-4A3D-9259-AF1D3AB837A4}" name="Volume of head if triangular prism (cm3)" dataDxfId="331">
      <calculatedColumnFormula>(((E139*F139)*G139)*0.5)/1000</calculatedColumnFormula>
    </tableColumn>
    <tableColumn id="12" xr3:uid="{5C0DA2A4-4206-4331-AD00-CAB2FBDC5263}" name="Total thallus volume (cm3)" dataDxfId="330">
      <calculatedColumnFormula>IFERROR(IF(VLOOKUP(B139,UdoteaInitialMetrics,2,FALSE) = "Vase-shaped", (I139+J139), IF(VLOOKUP(B139, UdoteaInitialMetrics,2,FALSE) = "Fan-shaped", (I139+K139), "")),"")</calculatedColumnFormula>
    </tableColumn>
    <tableColumn id="13" xr3:uid="{9D974279-6E29-45BB-862D-11FA70ECE2AE}" name="CaCO3 (g) v volume relationship" dataDxfId="329">
      <calculatedColumnFormula>IF(B139=1,$E$11,IF(B139=2,$E$12,IF(B139=3,0,IF(B139=4,0,""))))</calculatedColumnFormula>
    </tableColumn>
    <tableColumn id="14" xr3:uid="{2B25D3F7-CCD8-4C47-9BC1-08F86DFE2B93}" name="Crops per year" dataDxfId="328">
      <calculatedColumnFormula>IF(B139=1,$H$11,IF(B139=2,$H$12,IF(B139=3,$H$13,IF(B139=4,$H$14,""))))</calculatedColumnFormula>
    </tableColumn>
    <tableColumn id="15" xr3:uid="{6C32D396-3BD9-4F0B-A779-25C85937A2E8}" name="CaCO3 prod (g) /thallus/yr" dataDxfId="327">
      <calculatedColumnFormula>IFERROR((L139*M139)*N139, "")</calculatedColumnFormula>
    </tableColumn>
    <tableColumn id="16" xr3:uid="{226C6827-11CC-4E1B-926F-199E57E31DC2}" name="g CaCO3/m2/yr" dataDxfId="326">
      <calculatedColumnFormula>IFERROR(O139*(1/$B$6), "")</calculatedColumnFormula>
    </tableColumn>
    <tableColumn id="17" xr3:uid="{E86BF410-6FE0-4FA2-BA1C-BBE38176DC9F}" name="kg CaCO3/m2/yr" dataDxfId="325">
      <calculatedColumnFormula>IFERROR(P139/1000,"")</calculatedColumnFormula>
    </tableColumn>
    <tableColumn id="18" xr3:uid="{76C38ACD-CE3B-4392-940A-BAE5F18568A8}" name="." dataDxfId="324"/>
    <tableColumn id="19" xr3:uid="{63CF2522-034A-43DB-8B32-B1364EBAF061}" name="Species 1" dataDxfId="323">
      <calculatedColumnFormula>IF(B139=1, Q139,"")</calculatedColumnFormula>
    </tableColumn>
    <tableColumn id="20" xr3:uid="{849DE70B-9294-4079-8C12-C73B8541C31F}" name="Species 2" dataDxfId="322">
      <calculatedColumnFormula>IF(B139=2, Q139,"")</calculatedColumnFormula>
    </tableColumn>
    <tableColumn id="21" xr3:uid="{B7D03826-92C0-4F82-B645-D570133023D9}" name="Species 3" dataDxfId="321">
      <calculatedColumnFormula>IF(B139=3, Q139,"")</calculatedColumnFormula>
    </tableColumn>
    <tableColumn id="22" xr3:uid="{D9215876-3F80-4DE0-95B8-02CD9F1B0058}" name="Species 4" dataDxfId="320">
      <calculatedColumnFormula>IF(B139=4, Q139,"")</calculatedColumnFormula>
    </tableColumn>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90A54DF7-2BBB-4316-BF73-583DB5A2278A}" name="TableU9" displayName="TableU9" ref="A154:V164" totalsRowShown="0" headerRowDxfId="319" dataDxfId="318" tableBorderDxfId="317">
  <tableColumns count="22">
    <tableColumn id="1" xr3:uid="{8EC000BE-A13F-4A26-99DF-8E5EF81A3FE2}" name="Quadrat #" dataDxfId="316">
      <calculatedColumnFormula>9</calculatedColumnFormula>
    </tableColumn>
    <tableColumn id="2" xr3:uid="{879113BF-216E-4D65-8471-85339476C2E4}" name="Species / morphology code (select from above)" dataDxfId="315"/>
    <tableColumn id="3" xr3:uid="{C685B8FA-34A0-430B-9DFC-CF258F861582}" name="height s (mm)" dataDxfId="314"/>
    <tableColumn id="4" xr3:uid="{610B4C91-1B8A-4814-B136-8690428C9932}" name="width s (mm)" dataDxfId="313"/>
    <tableColumn id="5" xr3:uid="{40A1E057-FF14-469A-817E-DF428CAAC02A}" name="height h (mm)" dataDxfId="312"/>
    <tableColumn id="6" xr3:uid="{143119F3-B183-4149-9940-84BA01561A77}" name="width w (mm)" dataDxfId="311"/>
    <tableColumn id="7" xr3:uid="{422985D8-911D-45CC-9379-DF68E75A2191}" name="depth d (mm)" dataDxfId="310"/>
    <tableColumn id="8" xr3:uid="{DCA6DBAA-17CE-478C-B052-0DD89E66602D}" name="Radius stem (mm)" dataDxfId="309">
      <calculatedColumnFormula>D155*0.5</calculatedColumnFormula>
    </tableColumn>
    <tableColumn id="9" xr3:uid="{A4222360-CB77-4971-8DA1-D03EB6EDCFD1}" name="Volume of stem cylinder (cm3)" dataDxfId="308">
      <calculatedColumnFormula>(PI()*(H155*H155)*C155)/1000</calculatedColumnFormula>
    </tableColumn>
    <tableColumn id="10" xr3:uid="{89419B8F-670B-4014-BED1-BD90F5FB5ABC}" name="Volume of head if cone (cm3)" dataDxfId="307">
      <calculatedColumnFormula>((PI()*(F155*0.5)*(G155*0.5)*E155)/3)/1000</calculatedColumnFormula>
    </tableColumn>
    <tableColumn id="11" xr3:uid="{792ADFCB-C22D-40CA-8DE7-F72ACB08C06E}" name="Volume of head if triangular prism (cm3)" dataDxfId="306">
      <calculatedColumnFormula>(((E155*F155)*G155)*0.5)/1000</calculatedColumnFormula>
    </tableColumn>
    <tableColumn id="12" xr3:uid="{775A6821-C7C8-479F-837C-CD8706AEB193}" name="Total thallus volume (cm3)" dataDxfId="305">
      <calculatedColumnFormula>IFERROR(IF(VLOOKUP(B155,UdoteaInitialMetrics,2,FALSE) = "Vase-shaped", (I155+J155), IF(VLOOKUP(B155, UdoteaInitialMetrics,2,FALSE) = "Fan-shaped", (I155+K155), "")),"")</calculatedColumnFormula>
    </tableColumn>
    <tableColumn id="13" xr3:uid="{B1317D83-3082-4207-A084-08D1EDC72816}" name="CaCO3 (g) v volume relationship" dataDxfId="304">
      <calculatedColumnFormula>IF(B155=1,$E$11,IF(B155=2,$E$12,IF(B155=3,0,IF(B155=4,0,""))))</calculatedColumnFormula>
    </tableColumn>
    <tableColumn id="14" xr3:uid="{4445A593-3291-4CAE-A530-25FC0F107E0D}" name="Crops per year" dataDxfId="303">
      <calculatedColumnFormula>IF(B155=1,$H$11,IF(B155=2,$H$12,IF(B155=3,$H$13,IF(B155=4,$H$14,""))))</calculatedColumnFormula>
    </tableColumn>
    <tableColumn id="15" xr3:uid="{4C61E024-2D15-47B9-B99F-BA4609EBF1D3}" name="CaCO3 prod (g) /thallus/yr" dataDxfId="302">
      <calculatedColumnFormula>IFERROR((L155*M155)*N155, "")</calculatedColumnFormula>
    </tableColumn>
    <tableColumn id="16" xr3:uid="{736759AA-AA1C-46EB-8DBE-B9C85EB41C8F}" name="g CaCO3/m2/yr" dataDxfId="301">
      <calculatedColumnFormula>IFERROR(O155*(1/$B$6), "")</calculatedColumnFormula>
    </tableColumn>
    <tableColumn id="17" xr3:uid="{33C9A87C-1CF4-4F46-9620-9337EC93FCAD}" name="kg CaCO3/m2/yr" dataDxfId="300">
      <calculatedColumnFormula>IFERROR(P155/1000,"")</calculatedColumnFormula>
    </tableColumn>
    <tableColumn id="18" xr3:uid="{C428CE1A-CF21-42FB-9931-8185BAF04A28}" name="." dataDxfId="299"/>
    <tableColumn id="19" xr3:uid="{089E4BF7-AF95-46B8-AE0D-3EBA297BDDA4}" name="Species 1" dataDxfId="298">
      <calculatedColumnFormula>IF(B155=1, Q155,"")</calculatedColumnFormula>
    </tableColumn>
    <tableColumn id="20" xr3:uid="{3DED3BE6-36C1-4A2C-BEF5-436F72F552C3}" name="Species 2" dataDxfId="297">
      <calculatedColumnFormula>IF(B155=2, Q155,"")</calculatedColumnFormula>
    </tableColumn>
    <tableColumn id="21" xr3:uid="{47F1D5B0-5E5A-47CE-9545-E37D3D155F27}" name="Species 3" dataDxfId="296">
      <calculatedColumnFormula>IF(B155=3, Q155,"")</calculatedColumnFormula>
    </tableColumn>
    <tableColumn id="22" xr3:uid="{A2DD4185-AF53-40E8-A129-9888A0F50070}" name="Species 4" dataDxfId="295">
      <calculatedColumnFormula>IF(B155=4, Q155,"")</calculatedColumnFormula>
    </tableColumn>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EA0850FD-C42E-474D-9FCC-D81E1D64F419}" name="TableU10" displayName="TableU10" ref="A170:V180" totalsRowShown="0" headerRowDxfId="294" dataDxfId="293" tableBorderDxfId="292">
  <tableColumns count="22">
    <tableColumn id="1" xr3:uid="{CD2C00A0-793E-41F1-A29A-62C4E429A9CB}" name="Quadrat #" dataDxfId="291">
      <calculatedColumnFormula>10</calculatedColumnFormula>
    </tableColumn>
    <tableColumn id="2" xr3:uid="{EB85F96C-6078-4B3B-B91E-FA53829E3660}" name="Species / morphology code (select from above)" dataDxfId="290"/>
    <tableColumn id="3" xr3:uid="{A49D0574-FA4F-432C-A8D3-7181F25AC0F7}" name="height s (mm)" dataDxfId="289"/>
    <tableColumn id="4" xr3:uid="{0DCD2223-DD92-4541-89A4-2F848F42FDBA}" name="width s (mm)" dataDxfId="288"/>
    <tableColumn id="5" xr3:uid="{D66E440C-5D1E-4D20-813E-4902A1FB2939}" name="height h (mm)" dataDxfId="287"/>
    <tableColumn id="6" xr3:uid="{5D3823A2-DA80-4F12-B745-058C95DCB678}" name="width w (mm)" dataDxfId="286"/>
    <tableColumn id="7" xr3:uid="{BC33C009-8D74-4859-A256-7A9EDD735518}" name="depth d (mm)" dataDxfId="285"/>
    <tableColumn id="8" xr3:uid="{71938BAA-B726-453F-9FD8-8B3E30DB37CD}" name="Radius stem (mm)" dataDxfId="284">
      <calculatedColumnFormula>D171*0.5</calculatedColumnFormula>
    </tableColumn>
    <tableColumn id="9" xr3:uid="{59EFE2E9-CD44-48D5-AEFA-A1FCE6A7BF67}" name="Volume of stem cylinder (cm3)" dataDxfId="283">
      <calculatedColumnFormula>(PI()*(H171*H171)*C171)/1000</calculatedColumnFormula>
    </tableColumn>
    <tableColumn id="10" xr3:uid="{1ED3AF3D-5EE7-434B-B354-7959E547AAF3}" name="Volume of head if cone (cm3)" dataDxfId="282">
      <calculatedColumnFormula>((PI()*(F171*0.5)*(G171*0.5)*E171)/3)/1000</calculatedColumnFormula>
    </tableColumn>
    <tableColumn id="11" xr3:uid="{D006074D-8590-4E46-88B4-325A952B507D}" name="Volume of head if triangular prism (cm3)" dataDxfId="281">
      <calculatedColumnFormula>(((E171*F171)*G171)*0.5)/1000</calculatedColumnFormula>
    </tableColumn>
    <tableColumn id="12" xr3:uid="{822ADC31-10F8-45F9-BE0A-F47EE5265EAE}" name="Total thallus volume (cm3)" dataDxfId="280">
      <calculatedColumnFormula>IFERROR(IF(VLOOKUP(B171,UdoteaInitialMetrics,2,FALSE) = "Vase-shaped", (I171+J171), IF(VLOOKUP(B171, UdoteaInitialMetrics,2,FALSE) = "Fan-shaped", (I171+K171), "")),"")</calculatedColumnFormula>
    </tableColumn>
    <tableColumn id="13" xr3:uid="{DF184598-C281-49DE-B9E7-43F07E0CB93A}" name="CaCO3 (g) v volume relationship" dataDxfId="279">
      <calculatedColumnFormula>IF(B171=1,$E$11,IF(B171=2,$E$12,IF(B171=3,0,IF(B171=4,0,""))))</calculatedColumnFormula>
    </tableColumn>
    <tableColumn id="14" xr3:uid="{EC3B87E0-7AD3-409D-BCCD-0D314A2A4D37}" name="Crops per year" dataDxfId="278">
      <calculatedColumnFormula>IF(B171=1,$H$11,IF(B171=2,$H$12,IF(B171=3,$H$13,IF(B171=4,$H$14,""))))</calculatedColumnFormula>
    </tableColumn>
    <tableColumn id="15" xr3:uid="{FFC1BC74-38F8-4277-9060-46978DA4F1E4}" name="CaCO3 prod (g) /thallus/yr" dataDxfId="277">
      <calculatedColumnFormula>IFERROR((L171*M171)*N171, "")</calculatedColumnFormula>
    </tableColumn>
    <tableColumn id="16" xr3:uid="{452A74A5-100B-4670-9EC3-DE38278F0136}" name="g CaCO3/m2/yr" dataDxfId="276">
      <calculatedColumnFormula>IFERROR(O171*(1/$B$6), "")</calculatedColumnFormula>
    </tableColumn>
    <tableColumn id="17" xr3:uid="{5542C60B-A4F9-40AE-AC1C-6F9C1C853126}" name="kg CaCO3/m2/yr" dataDxfId="275">
      <calculatedColumnFormula>IFERROR(P171/1000,"")</calculatedColumnFormula>
    </tableColumn>
    <tableColumn id="18" xr3:uid="{825E6F8E-D618-4E4A-924B-EFC3F749D7FA}" name="." dataDxfId="274"/>
    <tableColumn id="19" xr3:uid="{613164ED-2A9D-4D40-9FC4-14B55689D798}" name="Species 1" dataDxfId="273">
      <calculatedColumnFormula>IF(B171=1, Q171,"")</calculatedColumnFormula>
    </tableColumn>
    <tableColumn id="20" xr3:uid="{018EB95C-C4BA-4EE2-BA45-9B8E4BE59716}" name="Species 2" dataDxfId="272">
      <calculatedColumnFormula>IF(B171=2, Q171,"")</calculatedColumnFormula>
    </tableColumn>
    <tableColumn id="21" xr3:uid="{6D6B9199-E6D6-4BDA-AFF7-F68619BE3EEB}" name="Species 3" dataDxfId="271">
      <calculatedColumnFormula>IF(B171=3, Q171,"")</calculatedColumnFormula>
    </tableColumn>
    <tableColumn id="22" xr3:uid="{DB916765-1A75-419D-BE45-AE3F5FEA8881}" name="Species 4" dataDxfId="270">
      <calculatedColumnFormula>IF(B171=4, Q171,"")</calculatedColumnFormula>
    </tableColumn>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786F984D-2710-49ED-87AC-1CA11486C5E5}" name="TableR1" displayName="TableR1" ref="A26:U36" totalsRowShown="0" headerRowDxfId="269" dataDxfId="268" tableBorderDxfId="267">
  <tableColumns count="21">
    <tableColumn id="1" xr3:uid="{8DE7258D-2634-4328-872B-5A44E93439CC}" name="Quadrat #" dataDxfId="266">
      <calculatedColumnFormula>1</calculatedColumnFormula>
    </tableColumn>
    <tableColumn id="2" xr3:uid="{B6B703BD-FF28-41EC-B4FF-0C4978B02896}" name="Species / morphology code (select from above)" dataDxfId="265"/>
    <tableColumn id="3" xr3:uid="{2B367648-4D77-4223-84DE-617E8E79893B}" name="height s (mm)" dataDxfId="264"/>
    <tableColumn id="4" xr3:uid="{B4546E26-E6AD-41FA-92A5-B25A0C220A64}" name="width s (mm)" dataDxfId="263"/>
    <tableColumn id="5" xr3:uid="{0FCAB789-5241-42C7-92C5-E2055E5E7E2D}" name="height h (mm)" dataDxfId="262"/>
    <tableColumn id="6" xr3:uid="{F8891EBA-4C17-44D4-8CC6-22A7455C745A}" name="width w (mm)" dataDxfId="261"/>
    <tableColumn id="7" xr3:uid="{70FFCD5B-F8DA-4EBC-9469-F8D30B0C7F9B}" name="depth d (mm)" dataDxfId="260"/>
    <tableColumn id="8" xr3:uid="{7EA43EC8-E55C-496A-8D49-867E1A60278A}" name="Radius stem (mm)" dataDxfId="259">
      <calculatedColumnFormula>D27*0.5</calculatedColumnFormula>
    </tableColumn>
    <tableColumn id="9" xr3:uid="{6BC12001-8CE8-4A6B-ACBA-739D7E7678BD}" name="Volume of stem cylinder (cm3)" dataDxfId="258">
      <calculatedColumnFormula>(PI()*(H27*H27)*C27)/1000</calculatedColumnFormula>
    </tableColumn>
    <tableColumn id="10" xr3:uid="{D97CD954-DC69-44F1-951E-96DCEF9BC695}" name="Volume of ellipsoid (cm3)" dataDxfId="257">
      <calculatedColumnFormula>((PI()/6)*(E27*F27*G27))/1000</calculatedColumnFormula>
    </tableColumn>
    <tableColumn id="11" xr3:uid="{F4616F36-D7FE-4337-AAFA-28F3896652D5}" name="Total thallus volume (cm3)" dataDxfId="256">
      <calculatedColumnFormula>J27+I27</calculatedColumnFormula>
    </tableColumn>
    <tableColumn id="12" xr3:uid="{C02A6233-0BA9-499D-9125-2D050E582C63}" name="Crops per year" dataDxfId="255">
      <calculatedColumnFormula>IF(B27=1,$D$10,IF(B27=2,$D$11,IF(B27=3,$D$12,IF(B27=4,$D$13,))))</calculatedColumnFormula>
    </tableColumn>
    <tableColumn id="13" xr3:uid="{292F6F8C-6EAF-4610-90E6-C075CDA9F44D}" name="CaCO3 (g) to volume relationship" dataDxfId="254">
      <calculatedColumnFormula>IF(B27=1,$G$10,IF(B27=2,$G$11,IF(B27=3,$G$12,IF(B27=4,$G$13,))))</calculatedColumnFormula>
    </tableColumn>
    <tableColumn id="14" xr3:uid="{A9DFFCCE-552B-46C6-A145-3F91C9A98676}" name="CaCO3 prod (g) /thallus/yr" dataDxfId="253">
      <calculatedColumnFormula>(K27*M27)*L27</calculatedColumnFormula>
    </tableColumn>
    <tableColumn id="15" xr3:uid="{86F22F79-4113-441C-9C9E-EB38BB8E53A8}" name="g CaCO3/m2/yr" dataDxfId="252">
      <calculatedColumnFormula>(N27)*(1/$B$6)</calculatedColumnFormula>
    </tableColumn>
    <tableColumn id="16" xr3:uid="{E5DCFC66-0641-4A53-873C-E86F5F0313A8}" name="kg CaCO3/m2/yr" dataDxfId="251">
      <calculatedColumnFormula>O27/1000</calculatedColumnFormula>
    </tableColumn>
    <tableColumn id="17" xr3:uid="{FC2A4514-BC21-4C65-9D6E-481BD8001CF5}" name="." dataDxfId="250"/>
    <tableColumn id="18" xr3:uid="{26F093E8-27F7-4D47-B623-2226B53F767E}" name="Species 1" dataDxfId="249">
      <calculatedColumnFormula>IF(B27=1, P27,"")</calculatedColumnFormula>
    </tableColumn>
    <tableColumn id="19" xr3:uid="{45E0A92A-7B31-468E-96FB-B6E96C040EB0}" name="Species 2" dataDxfId="248">
      <calculatedColumnFormula>IF(B27=2, P27,"")</calculatedColumnFormula>
    </tableColumn>
    <tableColumn id="20" xr3:uid="{EF07195A-714B-4B17-B16F-43C9DA8066BD}" name="Species 3" dataDxfId="247">
      <calculatedColumnFormula>IF(B27=3, P27,"")</calculatedColumnFormula>
    </tableColumn>
    <tableColumn id="21" xr3:uid="{7288F05B-39BC-4212-859F-158511722193}" name="Species 4" dataDxfId="246">
      <calculatedColumnFormula>IF(B27=4, P27,"")</calculatedColumnFormula>
    </tableColumn>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C97C23E5-F32A-43A1-95DC-FFD162EEB21C}" name="TableR2" displayName="TableR2" ref="A42:U52" totalsRowShown="0" headerRowDxfId="245" dataDxfId="244" tableBorderDxfId="243">
  <tableColumns count="21">
    <tableColumn id="1" xr3:uid="{689CBD5A-C65C-41A7-A6EE-19F789D89FBE}" name="Quadrat #" dataDxfId="242">
      <calculatedColumnFormula>2</calculatedColumnFormula>
    </tableColumn>
    <tableColumn id="2" xr3:uid="{62624149-AAEF-4005-8331-EB3ACFB56092}" name="Species / morphology code (select from above)" dataDxfId="241"/>
    <tableColumn id="3" xr3:uid="{9B37EC9B-F864-4D03-82F8-39001D66EF2D}" name="height s (mm)" dataDxfId="240"/>
    <tableColumn id="4" xr3:uid="{DD988481-0CA5-40DF-A43B-70D0E7B87795}" name="width s (mm)" dataDxfId="239"/>
    <tableColumn id="5" xr3:uid="{5646EEB6-0330-4DC3-A7FA-B4437F0442F8}" name="height h (mm)" dataDxfId="238"/>
    <tableColumn id="6" xr3:uid="{657064AE-A0C2-41DD-A198-D6D4DAE510DB}" name="width w (mm)" dataDxfId="237"/>
    <tableColumn id="7" xr3:uid="{5F96EE68-A586-4320-B308-9F0D418B7A58}" name="depth d (mm)" dataDxfId="236"/>
    <tableColumn id="8" xr3:uid="{93113744-3B29-4473-9C6F-B73AD0689B02}" name="Radius stem (mm)" dataDxfId="235">
      <calculatedColumnFormula>D43*0.5</calculatedColumnFormula>
    </tableColumn>
    <tableColumn id="9" xr3:uid="{CF70C5BC-BE37-4E1B-ABBC-4C6FCC254B31}" name="Volume of stem cylinder (cm3)" dataDxfId="234">
      <calculatedColumnFormula>(PI()*(H43*H43)*C43)/1000</calculatedColumnFormula>
    </tableColumn>
    <tableColumn id="10" xr3:uid="{08EB7C3E-8548-4D2A-AD41-86A1BC0D7F2F}" name="Volume of ellipsoid (cm3)" dataDxfId="233">
      <calculatedColumnFormula>((PI()/6)*(E43*F43*G43))/1000</calculatedColumnFormula>
    </tableColumn>
    <tableColumn id="11" xr3:uid="{A87802F7-8666-41F3-B2EA-C04D549AA2DB}" name="Total thallus volume (cm3)" dataDxfId="232">
      <calculatedColumnFormula>J43+I43</calculatedColumnFormula>
    </tableColumn>
    <tableColumn id="12" xr3:uid="{E63846D9-3C85-4684-834C-AC5AFEC247E4}" name="Crops per year" dataDxfId="231">
      <calculatedColumnFormula>IF(B43=1,$D$10,IF(B43=2,$D$11,IF(B43=3,$D$12,IF(B43=4,$D$13,))))</calculatedColumnFormula>
    </tableColumn>
    <tableColumn id="13" xr3:uid="{9545431B-223C-40F0-BEDD-3FBE127CFC36}" name="CaCO3 (g) to volume relationship" dataDxfId="230">
      <calculatedColumnFormula>IF(B43=1,$G$10,IF(B43=2,$G$11,IF(B43=3,$G$12,IF(B43=4,$G$13,))))</calculatedColumnFormula>
    </tableColumn>
    <tableColumn id="14" xr3:uid="{E490DB29-2089-44A1-93DC-B48039DFCE15}" name="CaCO3 prod (g) /thallus/yr" dataDxfId="229">
      <calculatedColumnFormula>(K43*M43)*L43</calculatedColumnFormula>
    </tableColumn>
    <tableColumn id="15" xr3:uid="{13D9F1D6-8AE9-4B11-AE49-E66A0B9B1296}" name="g CaCO3/m2/yr" dataDxfId="228">
      <calculatedColumnFormula>(N43)*(1/$B$6)</calculatedColumnFormula>
    </tableColumn>
    <tableColumn id="16" xr3:uid="{C0BEF064-DBCA-4B1D-84F8-D0742E9CC716}" name="kg CaCO3/m2/yr" dataDxfId="227">
      <calculatedColumnFormula>O43/1000</calculatedColumnFormula>
    </tableColumn>
    <tableColumn id="17" xr3:uid="{15F96135-5E80-4A40-B3EF-0869EBFB2FEA}" name="." dataDxfId="226"/>
    <tableColumn id="18" xr3:uid="{72AE3F2A-EE47-40C1-A214-6014399F2EFE}" name="Species 1" dataDxfId="225">
      <calculatedColumnFormula>IF(B43=1, P43,"")</calculatedColumnFormula>
    </tableColumn>
    <tableColumn id="19" xr3:uid="{FE339E3B-2B04-424F-B3B4-E5B066D40E6B}" name="Species 2" dataDxfId="224">
      <calculatedColumnFormula>IF(B43=2, P43,"")</calculatedColumnFormula>
    </tableColumn>
    <tableColumn id="20" xr3:uid="{76AC5FC0-430B-4951-BD1E-BF9788449EE0}" name="Species 3" dataDxfId="223">
      <calculatedColumnFormula>IF(B43=3, P43,"")</calculatedColumnFormula>
    </tableColumn>
    <tableColumn id="21" xr3:uid="{A363F2F9-C4F3-47BD-9F24-279D21F659A8}" name="Species 4" dataDxfId="222">
      <calculatedColumnFormula>IF(B43=4, P43,"")</calculatedColumnFormula>
    </tableColumn>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67638362-4C3E-4FF7-A566-ACCB116AB71E}" name="TableR3" displayName="TableR3" ref="A58:U68" totalsRowShown="0" headerRowDxfId="221" dataDxfId="220" tableBorderDxfId="219">
  <tableColumns count="21">
    <tableColumn id="1" xr3:uid="{716E74A3-5A63-491B-8643-028AB1AAF18B}" name="Quadrat #" dataDxfId="218">
      <calculatedColumnFormula>3</calculatedColumnFormula>
    </tableColumn>
    <tableColumn id="2" xr3:uid="{94B00EA4-7330-4294-8941-79C6BA2BC52F}" name="Species / morphology code (select from above)" dataDxfId="217"/>
    <tableColumn id="3" xr3:uid="{CEB2F3AB-CBF5-421C-9989-0DA5FDADD00E}" name="height s (mm)" dataDxfId="216"/>
    <tableColumn id="4" xr3:uid="{AFD1AEBD-6D9B-47D0-A644-25CFF8960993}" name="width s (mm)" dataDxfId="215"/>
    <tableColumn id="5" xr3:uid="{A23946A4-DFB6-4627-BABB-8979D4D76E42}" name="height h (mm)" dataDxfId="214"/>
    <tableColumn id="6" xr3:uid="{FF4B66A1-4DCC-4F3D-8202-3C656C91E9D1}" name="width w (mm)" dataDxfId="213"/>
    <tableColumn id="7" xr3:uid="{012CB9FC-E548-4FAD-8795-1C3D24C99CBF}" name="depth d (mm)" dataDxfId="212"/>
    <tableColumn id="8" xr3:uid="{378185A7-BCB8-4012-B139-330F93C8AB43}" name="Radius stem (mm)" dataDxfId="211">
      <calculatedColumnFormula>D59*0.5</calculatedColumnFormula>
    </tableColumn>
    <tableColumn id="9" xr3:uid="{F6EEAC6E-4547-4BDC-BDE8-A5FA67A47AE6}" name="Volume of stem cylinder (cm3)" dataDxfId="210">
      <calculatedColumnFormula>(PI()*(H59*H59)*C59)/1000</calculatedColumnFormula>
    </tableColumn>
    <tableColumn id="10" xr3:uid="{C22A96D2-DC2E-4AF7-B6BB-7BCF90545FFE}" name="Volume of ellipsoid (cm3)" dataDxfId="209">
      <calculatedColumnFormula>((PI()/6)*(E59*F59*G59))/1000</calculatedColumnFormula>
    </tableColumn>
    <tableColumn id="11" xr3:uid="{3C75E49B-B842-40AD-9782-328A1619564E}" name="Total thallus volume (cm3)" dataDxfId="208">
      <calculatedColumnFormula>J59+I59</calculatedColumnFormula>
    </tableColumn>
    <tableColumn id="12" xr3:uid="{8DAEB685-7698-4831-83B7-627F564029C2}" name="Crops per year" dataDxfId="207">
      <calculatedColumnFormula>IF(B59=1,$D$10,IF(B59=2,$D$11,IF(B59=3,$D$12,IF(B59=4,$D$13,))))</calculatedColumnFormula>
    </tableColumn>
    <tableColumn id="13" xr3:uid="{DB6048FF-133D-41B3-83F5-24DFC5CAB6F8}" name="CaCO3 (g) to volume relationship" dataDxfId="206">
      <calculatedColumnFormula>IF(B59=1,$G$10,IF(B59=2,$G$11,IF(B59=3,$G$12,IF(B59=4,$G$13,))))</calculatedColumnFormula>
    </tableColumn>
    <tableColumn id="14" xr3:uid="{88A72C9D-0752-4E95-BFE4-465C6F14EDCB}" name="CaCO3 prod (g) /thallus/yr" dataDxfId="205">
      <calculatedColumnFormula>(K59*M59)*L59</calculatedColumnFormula>
    </tableColumn>
    <tableColumn id="15" xr3:uid="{A2430E19-73FA-466D-9719-0B696F1F75CF}" name="g CaCO3/m2/yr" dataDxfId="204">
      <calculatedColumnFormula>(N59)*(1/$B$6)</calculatedColumnFormula>
    </tableColumn>
    <tableColumn id="16" xr3:uid="{02A17807-9B64-45B3-8F29-A67AFD8E3CB3}" name="kg CaCO3/m2/yr" dataDxfId="203">
      <calculatedColumnFormula>O59/1000</calculatedColumnFormula>
    </tableColumn>
    <tableColumn id="17" xr3:uid="{98C02B66-868C-4A50-8FD5-147D5A7D15A9}" name="." dataDxfId="202"/>
    <tableColumn id="18" xr3:uid="{D0AC2002-9123-4F80-8DE9-9254DFED7F4F}" name="Species 1" dataDxfId="201">
      <calculatedColumnFormula>IF(B59=1, P59,"")</calculatedColumnFormula>
    </tableColumn>
    <tableColumn id="19" xr3:uid="{73009F40-B369-44CC-9B6A-CA6FA41E173E}" name="Species 2" dataDxfId="200">
      <calculatedColumnFormula>IF(B59=2, P59,"")</calculatedColumnFormula>
    </tableColumn>
    <tableColumn id="20" xr3:uid="{CC90787E-7D02-4145-826C-B0B0E28D45EB}" name="Species 3" dataDxfId="199">
      <calculatedColumnFormula>IF(B59=3, P59,"")</calculatedColumnFormula>
    </tableColumn>
    <tableColumn id="21" xr3:uid="{77C2C461-962C-4C3C-AC98-9CA1C67BF964}" name="Species 4" dataDxfId="198">
      <calculatedColumnFormula>IF(B59=4, P59,"")</calculatedColumnFormula>
    </tableColumn>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D2DA6BEC-5698-4B15-80A9-67E94D115F27}" name="TableR4" displayName="TableR4" ref="A74:U84" totalsRowShown="0" headerRowDxfId="197" dataDxfId="196" tableBorderDxfId="195">
  <tableColumns count="21">
    <tableColumn id="1" xr3:uid="{3B202ED1-3BD7-44BA-A968-7B890842DEFD}" name="Quadrat #" dataDxfId="194">
      <calculatedColumnFormula>4</calculatedColumnFormula>
    </tableColumn>
    <tableColumn id="2" xr3:uid="{57D1F50C-DBE1-4AD0-AABD-8E8037021ED0}" name="Species / morphology code (select from above)" dataDxfId="193"/>
    <tableColumn id="3" xr3:uid="{575558BF-8296-4A99-A1D0-BD0393D26B23}" name="height s (mm)" dataDxfId="192"/>
    <tableColumn id="4" xr3:uid="{E425AB01-63E6-45CB-9BFC-CD7A6D7FF2E3}" name="width s (mm)" dataDxfId="191"/>
    <tableColumn id="5" xr3:uid="{E62D7A06-0112-47EC-A605-662493085254}" name="height h (mm)" dataDxfId="190"/>
    <tableColumn id="6" xr3:uid="{638AA0DD-E7A9-4ACB-B47D-202A2E24248C}" name="width w (mm)" dataDxfId="189"/>
    <tableColumn id="7" xr3:uid="{6AAE8416-EE2E-4D50-9B8A-5F824B8FFDC2}" name="depth d (mm)" dataDxfId="188"/>
    <tableColumn id="8" xr3:uid="{4EF286BF-7C01-49CB-AF1F-96DA5E9C66D9}" name="Radius stem (mm)" dataDxfId="187">
      <calculatedColumnFormula>D75*0.5</calculatedColumnFormula>
    </tableColumn>
    <tableColumn id="9" xr3:uid="{735A02B0-090D-41E7-80B8-3CF54D2563DA}" name="Volume of stem cylinder (cm3)" dataDxfId="186">
      <calculatedColumnFormula>(PI()*(H75*H75)*C75)/1000</calculatedColumnFormula>
    </tableColumn>
    <tableColumn id="10" xr3:uid="{0698D75F-0052-41FB-92AC-E76CC8B62462}" name="Volume of ellipsoid (cm3)" dataDxfId="185">
      <calculatedColumnFormula>((PI()/6)*(E75*F75*G75))/1000</calculatedColumnFormula>
    </tableColumn>
    <tableColumn id="11" xr3:uid="{086251E6-2404-49B7-95D6-F1025983B34A}" name="Total thallus volume (cm3)" dataDxfId="184">
      <calculatedColumnFormula>J75+I75</calculatedColumnFormula>
    </tableColumn>
    <tableColumn id="12" xr3:uid="{30CF6EEB-E43D-4A87-8AC4-4DFFC3F63543}" name="Crops per year" dataDxfId="183">
      <calculatedColumnFormula>IF(B75=1,$D$10,IF(B75=2,$D$11,IF(B75=3,$D$12,IF(B75=4,$D$13,))))</calculatedColumnFormula>
    </tableColumn>
    <tableColumn id="13" xr3:uid="{B6562729-7DE6-4BF1-90C7-0ECAEE9AE250}" name="CaCO3 (g) to volume relationship" dataDxfId="182">
      <calculatedColumnFormula>IF(B75=1,$G$10,IF(B75=2,$G$11,IF(B75=3,$G$12,IF(B75=4,$G$13,))))</calculatedColumnFormula>
    </tableColumn>
    <tableColumn id="14" xr3:uid="{E4ABE965-185E-4D1F-AF35-9F6C6769F786}" name="CaCO3 prod (g) /thallus/yr" dataDxfId="181">
      <calculatedColumnFormula>(K75*M75)*L75</calculatedColumnFormula>
    </tableColumn>
    <tableColumn id="15" xr3:uid="{BB437267-BF4E-4484-A93D-A76911609AB8}" name="g CaCO3/m2/yr" dataDxfId="180">
      <calculatedColumnFormula>(N75)*(1/$B$6)</calculatedColumnFormula>
    </tableColumn>
    <tableColumn id="16" xr3:uid="{84355D73-86A0-4D67-93CF-13FF94639C09}" name="kg CaCO3/m2/yr" dataDxfId="179">
      <calculatedColumnFormula>O75/1000</calculatedColumnFormula>
    </tableColumn>
    <tableColumn id="17" xr3:uid="{47557C19-8E58-43D0-9FE7-B177AE1772B7}" name="." dataDxfId="178"/>
    <tableColumn id="18" xr3:uid="{889C9C88-A094-4406-89BA-80EEBEAA23C1}" name="Species 1" dataDxfId="177">
      <calculatedColumnFormula>IF(B75=1, P75,"")</calculatedColumnFormula>
    </tableColumn>
    <tableColumn id="19" xr3:uid="{B51FAD6B-65D8-4031-AC78-64B762C16E24}" name="Species 2" dataDxfId="176">
      <calculatedColumnFormula>IF(B75=2, P75,"")</calculatedColumnFormula>
    </tableColumn>
    <tableColumn id="20" xr3:uid="{BDAB29DF-493D-4DA1-9DBA-30FD274AE7DA}" name="Species 3" dataDxfId="175">
      <calculatedColumnFormula>IF(B75=3, P75,"")</calculatedColumnFormula>
    </tableColumn>
    <tableColumn id="21" xr3:uid="{241E7AF3-A94F-48C9-BEA3-FE94D78C6244}" name="Species 4" dataDxfId="174">
      <calculatedColumnFormula>IF(B75=4, P75,"")</calculatedColumnFormula>
    </tableColumn>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4F60E245-0098-4CD3-8458-006187888735}" name="TableR5" displayName="TableR5" ref="A90:U100" totalsRowShown="0" headerRowDxfId="173" dataDxfId="172" tableBorderDxfId="171">
  <tableColumns count="21">
    <tableColumn id="1" xr3:uid="{CD00C6FC-BDCE-481A-B371-E8FAD76DF8EB}" name="Quadrat #" dataDxfId="170">
      <calculatedColumnFormula>5</calculatedColumnFormula>
    </tableColumn>
    <tableColumn id="2" xr3:uid="{683C9890-58DB-4ECE-A94B-780F02B55F6F}" name="Species / morphology code (select from above)" dataDxfId="169"/>
    <tableColumn id="3" xr3:uid="{98254A40-F06B-4D81-96A2-1B5FFB30C045}" name="height s (mm)" dataDxfId="168"/>
    <tableColumn id="4" xr3:uid="{9C510945-AD33-4784-8E71-E33F1C75E2E3}" name="width s (mm)" dataDxfId="167"/>
    <tableColumn id="5" xr3:uid="{D2CE02C6-CBFA-4B34-B11A-08F0F504BCF9}" name="height h (mm)" dataDxfId="166"/>
    <tableColumn id="6" xr3:uid="{4AE13E21-B9B7-43F7-A4CE-AF8DB9ADB966}" name="width w (mm)" dataDxfId="165"/>
    <tableColumn id="7" xr3:uid="{755B572A-14E1-460C-AC91-F5C7A0782A44}" name="depth d (mm)" dataDxfId="164"/>
    <tableColumn id="8" xr3:uid="{3006C064-32E6-4266-A99D-B6C15569FED8}" name="Radius stem (mm)" dataDxfId="163">
      <calculatedColumnFormula>D91*0.5</calculatedColumnFormula>
    </tableColumn>
    <tableColumn id="9" xr3:uid="{43C06C1E-200C-40BA-8FB0-A8696F8AB83E}" name="Volume of stem cylinder (cm3)" dataDxfId="162">
      <calculatedColumnFormula>(PI()*(H91*H91)*C91)/1000</calculatedColumnFormula>
    </tableColumn>
    <tableColumn id="10" xr3:uid="{CA549C9D-7D9A-4B77-AFD7-34FA08C0A761}" name="Volume of ellipsoid (cm3)" dataDxfId="161">
      <calculatedColumnFormula>((PI()/6)*(E91*F91*G91))/1000</calculatedColumnFormula>
    </tableColumn>
    <tableColumn id="11" xr3:uid="{2E1F8F7A-EE00-4F69-B210-861A9067086B}" name="Total thallus volume (cm3)" dataDxfId="160">
      <calculatedColumnFormula>J91+I91</calculatedColumnFormula>
    </tableColumn>
    <tableColumn id="12" xr3:uid="{1465CF9C-43B0-4257-8861-2ACC8A46C9E9}" name="Crops per year" dataDxfId="159">
      <calculatedColumnFormula>IF(B91=1,$D$10,IF(B91=2,$D$11,IF(B91=3,$D$12,IF(B91=4,$D$13,))))</calculatedColumnFormula>
    </tableColumn>
    <tableColumn id="13" xr3:uid="{2A7E386B-798E-44D1-8FC0-7D699B01A6D2}" name="CaCO3 (g) to volume relationship" dataDxfId="158">
      <calculatedColumnFormula>IF(B91=1,$G$10,IF(B91=2,$G$11,IF(B91=3,$G$12,IF(B91=4,$G$13,))))</calculatedColumnFormula>
    </tableColumn>
    <tableColumn id="14" xr3:uid="{E8230F75-5DA4-4F7F-B1AC-5EDE7E06CDD4}" name="CaCO3 prod (g) /thallus/yr" dataDxfId="157">
      <calculatedColumnFormula>(K91*M91)*L91</calculatedColumnFormula>
    </tableColumn>
    <tableColumn id="15" xr3:uid="{90F99BA4-1A6C-4AE3-8570-C805DF701490}" name="g CaCO3/m2/yr" dataDxfId="156">
      <calculatedColumnFormula>(N91)*(1/$B$6)</calculatedColumnFormula>
    </tableColumn>
    <tableColumn id="16" xr3:uid="{FE75E2F3-C034-4EC8-A225-89BF9F37ED70}" name="kg CaCO3/m2/yr" dataDxfId="155">
      <calculatedColumnFormula>O91/1000</calculatedColumnFormula>
    </tableColumn>
    <tableColumn id="17" xr3:uid="{BE598C68-5826-4264-A662-C32D594DCDFD}" name="." dataDxfId="154"/>
    <tableColumn id="18" xr3:uid="{68FA62EB-13AE-4DB3-93A5-BA4FA35EE42F}" name="Species 1" dataDxfId="153">
      <calculatedColumnFormula>IF(B91=1, P91,"")</calculatedColumnFormula>
    </tableColumn>
    <tableColumn id="19" xr3:uid="{E2F95897-A375-4077-AE0F-EEAD668D07F2}" name="Species 2" dataDxfId="152">
      <calculatedColumnFormula>IF(B91=2, P91,"")</calculatedColumnFormula>
    </tableColumn>
    <tableColumn id="20" xr3:uid="{9B6A36C5-BB2E-4B06-BE18-C2ACBCE6E493}" name="Species 3" dataDxfId="151">
      <calculatedColumnFormula>IF(B91=3, P91,"")</calculatedColumnFormula>
    </tableColumn>
    <tableColumn id="21" xr3:uid="{9964A145-CC47-4479-A0DE-E5255ABE2721}" name="Species 4" dataDxfId="150">
      <calculatedColumnFormula>IF(B91=4, P91,"")</calculatedColumnFormula>
    </tableColumn>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FC698DF1-FBC8-46B0-9A9B-3A73DA4C084A}" name="TableR6" displayName="TableR6" ref="A106:U116" totalsRowShown="0" headerRowDxfId="149" dataDxfId="148" tableBorderDxfId="147">
  <tableColumns count="21">
    <tableColumn id="1" xr3:uid="{BE125C22-1AF9-41C4-9588-703F21977E4C}" name="Quadrat #" dataDxfId="146">
      <calculatedColumnFormula>6</calculatedColumnFormula>
    </tableColumn>
    <tableColumn id="2" xr3:uid="{69E44B9B-9149-4875-84D6-2CB887EB383D}" name="Species / morphology code (select from above)" dataDxfId="145"/>
    <tableColumn id="3" xr3:uid="{CA4037CB-2D20-4729-9DC9-628C00557766}" name="height s (mm)" dataDxfId="144"/>
    <tableColumn id="4" xr3:uid="{09BDF66B-45EA-4ED3-BC75-2BFB493A8ABB}" name="width s (mm)" dataDxfId="143"/>
    <tableColumn id="5" xr3:uid="{FDC8552A-52E6-46BE-AECF-E0A4AFD7648B}" name="height h (mm)" dataDxfId="142"/>
    <tableColumn id="6" xr3:uid="{FD5F635E-259A-4922-ADE9-AAFB84FF44FD}" name="width w (mm)" dataDxfId="141"/>
    <tableColumn id="7" xr3:uid="{6D1E59BA-C7D8-4B7F-A32C-ACC5DEBA55BA}" name="depth d (mm)" dataDxfId="140"/>
    <tableColumn id="8" xr3:uid="{02C2376A-92B2-4987-8BD0-5872C62EEB4C}" name="Radius stem (mm)" dataDxfId="139">
      <calculatedColumnFormula>D107*0.5</calculatedColumnFormula>
    </tableColumn>
    <tableColumn id="9" xr3:uid="{66FF0D5F-EEDC-4223-8C84-1BE4E9D8BC85}" name="Volume of stem cylinder (cm3)" dataDxfId="138">
      <calculatedColumnFormula>(PI()*(H107*H107)*C107)/1000</calculatedColumnFormula>
    </tableColumn>
    <tableColumn id="10" xr3:uid="{61D95A2B-EE22-4FF9-AF5C-0EBA9552D301}" name="Volume of ellipsoid (cm3)" dataDxfId="137">
      <calculatedColumnFormula>((PI()/6)*(E107*F107*G107))/1000</calculatedColumnFormula>
    </tableColumn>
    <tableColumn id="11" xr3:uid="{AA8A0DC0-7AB8-4ACB-96DF-294755901995}" name="Total thallus volume (cm3)" dataDxfId="136">
      <calculatedColumnFormula>J107+I107</calculatedColumnFormula>
    </tableColumn>
    <tableColumn id="12" xr3:uid="{C0772204-292B-4BE6-9BD7-FFBDB2254C3A}" name="Crops per year" dataDxfId="135">
      <calculatedColumnFormula>IF(B107=1,$D$10,IF(B107=2,$D$11,IF(B107=3,$D$12,IF(B107=4,$D$13,))))</calculatedColumnFormula>
    </tableColumn>
    <tableColumn id="13" xr3:uid="{C6FA0A9D-00F3-42B3-9827-62FAA0194EEF}" name="CaCO3 (g) to volume relationship" dataDxfId="134">
      <calculatedColumnFormula>IF(B107=1,$G$10,IF(B107=2,$G$11,IF(B107=3,$G$12,IF(B107=4,$G$13,))))</calculatedColumnFormula>
    </tableColumn>
    <tableColumn id="14" xr3:uid="{8C9A9E42-E24B-423B-AD68-F9AEE3F23578}" name="CaCO3 prod (g) /thallus/yr" dataDxfId="133">
      <calculatedColumnFormula>(K107*M107)*L107</calculatedColumnFormula>
    </tableColumn>
    <tableColumn id="15" xr3:uid="{CF0662DB-6B80-4386-85B2-DFBF4B15CFC1}" name="g CaCO3/m2/yr" dataDxfId="132">
      <calculatedColumnFormula>(N107)*(1/$B$6)</calculatedColumnFormula>
    </tableColumn>
    <tableColumn id="16" xr3:uid="{95D4BFA7-6808-412F-8FD8-565893432974}" name="kg CaCO3/m2/yr" dataDxfId="131">
      <calculatedColumnFormula>O107/1000</calculatedColumnFormula>
    </tableColumn>
    <tableColumn id="17" xr3:uid="{1075E5DB-120E-46AC-80AA-58AC1645A6A2}" name="." dataDxfId="130"/>
    <tableColumn id="18" xr3:uid="{FD19EA1B-1A5B-4F1E-9BC3-2063957BB487}" name="Species 1" dataDxfId="129">
      <calculatedColumnFormula>IF(B107=1, P107,"")</calculatedColumnFormula>
    </tableColumn>
    <tableColumn id="19" xr3:uid="{9758DC7C-83B8-4C41-A781-D130BB48D8E9}" name="Species 2" dataDxfId="128">
      <calculatedColumnFormula>IF(B107=2, P107,"")</calculatedColumnFormula>
    </tableColumn>
    <tableColumn id="20" xr3:uid="{EB51EC28-39D0-40C7-9C6B-4BA396BA4273}" name="Species 3" dataDxfId="127">
      <calculatedColumnFormula>IF(B107=3, P107,"")</calculatedColumnFormula>
    </tableColumn>
    <tableColumn id="21" xr3:uid="{4943915F-524A-48B2-A1D7-4554E5305457}" name="Species 4" dataDxfId="126">
      <calculatedColumnFormula>IF(B107=4, P107,"")</calculatedColumnFormula>
    </tableColumn>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67BE5F4B-EAD3-404D-98E6-CD318D296260}" name="TableR7" displayName="TableR7" ref="A122:U132" totalsRowShown="0" headerRowDxfId="125" dataDxfId="124" tableBorderDxfId="123">
  <tableColumns count="21">
    <tableColumn id="1" xr3:uid="{646D6E2F-6D4B-4F5F-B1CC-EF9E5075AC01}" name="Quadrat #" dataDxfId="122">
      <calculatedColumnFormula>7</calculatedColumnFormula>
    </tableColumn>
    <tableColumn id="2" xr3:uid="{9727748D-3AF2-4C17-AD01-284B08D08321}" name="Species / morphology code (select from above)" dataDxfId="121"/>
    <tableColumn id="3" xr3:uid="{A1F5B313-6F06-4F55-B4E8-6C78C191F016}" name="height s (mm)" dataDxfId="120"/>
    <tableColumn id="4" xr3:uid="{FBA75A9D-2112-4869-A6CE-C53CDE1432AD}" name="width s (mm)" dataDxfId="119"/>
    <tableColumn id="5" xr3:uid="{71A7F393-4C5C-4142-96AE-B2A44F347637}" name="height h (mm)" dataDxfId="118"/>
    <tableColumn id="6" xr3:uid="{540340A8-45E3-4B9F-9632-CAC2301EA0F4}" name="width w (mm)" dataDxfId="117"/>
    <tableColumn id="7" xr3:uid="{CD477457-9B6C-41A3-9054-FD832B2DA9D2}" name="depth d (mm)" dataDxfId="116"/>
    <tableColumn id="8" xr3:uid="{8AB305C6-D38C-418A-A26A-E09CEEAA4BA6}" name="Radius stem (mm)" dataDxfId="115">
      <calculatedColumnFormula>D123*0.5</calculatedColumnFormula>
    </tableColumn>
    <tableColumn id="9" xr3:uid="{76184B78-F6D4-4537-9644-F2DE1ADED7E0}" name="Volume of stem cylinder (cm3)" dataDxfId="114">
      <calculatedColumnFormula>(PI()*(H123*H123)*C123)/1000</calculatedColumnFormula>
    </tableColumn>
    <tableColumn id="10" xr3:uid="{B3215E7F-5E12-4512-8DA0-70F145265BB9}" name="Volume of ellipsoid (cm3)" dataDxfId="113">
      <calculatedColumnFormula>((PI()/6)*(E123*F123*G123))/1000</calculatedColumnFormula>
    </tableColumn>
    <tableColumn id="11" xr3:uid="{1A4E3C88-1FFB-4A06-B49B-958189F766AB}" name="Total thallus volume (cm3)" dataDxfId="112">
      <calculatedColumnFormula>J123+I123</calculatedColumnFormula>
    </tableColumn>
    <tableColumn id="12" xr3:uid="{6BC3AE17-107B-4CD9-9004-D2B5B78AB855}" name="Crops per year" dataDxfId="111">
      <calculatedColumnFormula>IF(B123=1,$D$10,IF(B123=2,$D$11,IF(B123=3,$D$12,IF(B123=4,$D$13,))))</calculatedColumnFormula>
    </tableColumn>
    <tableColumn id="13" xr3:uid="{67B3A38B-C072-4661-AB81-4F61E38EB9BC}" name="CaCO3 (g) to volume relationship" dataDxfId="110">
      <calculatedColumnFormula>IF(B123=1,$G$10,IF(B123=2,$G$11,IF(B123=3,$G$12,IF(B123=4,$G$13,))))</calculatedColumnFormula>
    </tableColumn>
    <tableColumn id="14" xr3:uid="{7EB51F12-DADB-437A-B163-3092D6C661CB}" name="CaCO3 prod (g) /thallus/yr" dataDxfId="109">
      <calculatedColumnFormula>(K123*M123)*L123</calculatedColumnFormula>
    </tableColumn>
    <tableColumn id="15" xr3:uid="{182B650E-000F-493C-9B3C-B4BE2AD4CFAC}" name="g CaCO3/m2/yr" dataDxfId="108">
      <calculatedColumnFormula>(N123)*(1/$B$6)</calculatedColumnFormula>
    </tableColumn>
    <tableColumn id="16" xr3:uid="{AB26CCC6-9514-4DA8-8101-E8147D73F63C}" name="kg CaCO3/m2/yr" dataDxfId="107">
      <calculatedColumnFormula>O123/1000</calculatedColumnFormula>
    </tableColumn>
    <tableColumn id="17" xr3:uid="{C8D2CA3A-626E-42DD-9773-F531DFCCB684}" name="." dataDxfId="106"/>
    <tableColumn id="18" xr3:uid="{F072612F-C52E-4838-AD84-4A2393D129EC}" name="Species 1" dataDxfId="105">
      <calculatedColumnFormula>IF(B123=1, P123,"")</calculatedColumnFormula>
    </tableColumn>
    <tableColumn id="19" xr3:uid="{A90DB02A-9137-426B-9B62-1FD641ED97AB}" name="Species 2" dataDxfId="104">
      <calculatedColumnFormula>IF(B123=2, P123,"")</calculatedColumnFormula>
    </tableColumn>
    <tableColumn id="20" xr3:uid="{6964201C-D495-40B8-AEC1-EDEE6A873C0C}" name="Species 3" dataDxfId="103">
      <calculatedColumnFormula>IF(B123=3, P123,"")</calculatedColumnFormula>
    </tableColumn>
    <tableColumn id="21" xr3:uid="{3167A5FA-0E2F-4819-99F9-076AC8ABFDAE}" name="Species 4" dataDxfId="102">
      <calculatedColumnFormula>IF(B123=4, P123,"")</calculatedColumnFormula>
    </tableColumn>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99848FFF-4971-42B4-807F-BC607F5568FB}" name="TableR8" displayName="TableR8" ref="A138:U148" totalsRowShown="0" headerRowDxfId="101" dataDxfId="100" tableBorderDxfId="99">
  <tableColumns count="21">
    <tableColumn id="1" xr3:uid="{5EF60B87-E1C3-44CD-B1E4-22A2E6C93D1D}" name="Quadrat #" dataDxfId="98">
      <calculatedColumnFormula>8</calculatedColumnFormula>
    </tableColumn>
    <tableColumn id="2" xr3:uid="{6A73A454-AEAE-4E31-91A5-01BE0BEBCE04}" name="Species / morphology code (select from above)" dataDxfId="97"/>
    <tableColumn id="3" xr3:uid="{F9E7B8CC-5564-4422-8C97-D159D699B45E}" name="height s (mm)" dataDxfId="96"/>
    <tableColumn id="4" xr3:uid="{F62265BB-2769-4A11-BEB7-CFFC6BE41179}" name="width s (mm)" dataDxfId="95"/>
    <tableColumn id="5" xr3:uid="{5604FCCC-63F5-4B9C-8FAC-FFA2F401B597}" name="height h (mm)" dataDxfId="94"/>
    <tableColumn id="6" xr3:uid="{3132184E-F32B-4CEF-8A9A-ED432CFA8748}" name="width w (mm)" dataDxfId="93"/>
    <tableColumn id="7" xr3:uid="{1F8A9A66-0399-4365-81DF-61D3B0343265}" name="depth d (mm)" dataDxfId="92"/>
    <tableColumn id="8" xr3:uid="{2E98C17B-454B-4E6A-AB74-9087823AB146}" name="Radius stem (mm)" dataDxfId="91">
      <calculatedColumnFormula>D139*0.5</calculatedColumnFormula>
    </tableColumn>
    <tableColumn id="9" xr3:uid="{0CE1ED10-8CC4-46E0-B751-C50155D7526A}" name="Volume of stem cylinder (cm3)" dataDxfId="90">
      <calculatedColumnFormula>(PI()*(H139*H139)*C139)/1000</calculatedColumnFormula>
    </tableColumn>
    <tableColumn id="10" xr3:uid="{8453D884-802C-46E4-B5B9-5D2A0E49B754}" name="Volume of ellipsoid (cm3)" dataDxfId="89">
      <calculatedColumnFormula>((PI()/6)*(E139*F139*G139))/1000</calculatedColumnFormula>
    </tableColumn>
    <tableColumn id="11" xr3:uid="{24A5BD04-D329-4892-89FF-93ECC72902DD}" name="Total thallus volume (cm3)" dataDxfId="88">
      <calculatedColumnFormula>J139+I139</calculatedColumnFormula>
    </tableColumn>
    <tableColumn id="12" xr3:uid="{85D85D10-78BA-4CFF-BC8D-61C32B690B2E}" name="Crops per year" dataDxfId="87">
      <calculatedColumnFormula>IF(B139=1,$D$10,IF(B139=2,$D$11,IF(B139=3,$D$12,IF(B139=4,$D$13,))))</calculatedColumnFormula>
    </tableColumn>
    <tableColumn id="13" xr3:uid="{D88DE473-31BD-4A44-BCC2-A83AFFB99CB5}" name="CaCO3 (g) to volume relationship" dataDxfId="86">
      <calculatedColumnFormula>IF(B139=1,$G$10,IF(B139=2,$G$11,IF(B139=3,$G$12,IF(B139=4,$G$13,))))</calculatedColumnFormula>
    </tableColumn>
    <tableColumn id="14" xr3:uid="{D786306F-50DB-4523-B39A-E808752961C5}" name="CaCO3 prod (g) /thallus/yr" dataDxfId="85">
      <calculatedColumnFormula>(K139*M139)*L139</calculatedColumnFormula>
    </tableColumn>
    <tableColumn id="15" xr3:uid="{138DC993-3CCC-4B9B-882B-1541F75EF683}" name="g CaCO3/m2/yr" dataDxfId="84">
      <calculatedColumnFormula>(N139)*(1/$B$6)</calculatedColumnFormula>
    </tableColumn>
    <tableColumn id="16" xr3:uid="{2D801C38-28F6-47F2-A7E5-5F655D939B44}" name="kg CaCO3/m2/yr" dataDxfId="83">
      <calculatedColumnFormula>O139/1000</calculatedColumnFormula>
    </tableColumn>
    <tableColumn id="17" xr3:uid="{9ED9602E-2C17-4C60-9329-54C80A370AF8}" name="." dataDxfId="82"/>
    <tableColumn id="18" xr3:uid="{3B3DB4CF-488F-49CC-883E-419FA5AF94B3}" name="Species 1" dataDxfId="81">
      <calculatedColumnFormula>IF(B139=1, P139,"")</calculatedColumnFormula>
    </tableColumn>
    <tableColumn id="19" xr3:uid="{42E50B4E-6C82-4646-B1A1-5BAEF96E4ACB}" name="Species 2" dataDxfId="80">
      <calculatedColumnFormula>IF(B139=2, P139,"")</calculatedColumnFormula>
    </tableColumn>
    <tableColumn id="20" xr3:uid="{FE13BC9D-7E23-43BE-80E1-79D0FCDC9BDE}" name="Species 3" dataDxfId="79">
      <calculatedColumnFormula>IF(B139=3, P139,"")</calculatedColumnFormula>
    </tableColumn>
    <tableColumn id="21" xr3:uid="{5F2E14C7-A093-4950-94D3-036F5F220E95}" name="Species 4" dataDxfId="78">
      <calculatedColumnFormula>IF(B139=4, P139,"")</calculatedColumnFormula>
    </tableColumn>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E2181AEA-2169-4B39-AAE0-F146A9D3F60F}" name="TableR9" displayName="TableR9" ref="A154:U164" totalsRowShown="0" headerRowDxfId="77" dataDxfId="76" tableBorderDxfId="75">
  <tableColumns count="21">
    <tableColumn id="1" xr3:uid="{F745170E-B4C8-4BF1-8306-A391AA437A80}" name="Quadrat #" dataDxfId="74">
      <calculatedColumnFormula>9</calculatedColumnFormula>
    </tableColumn>
    <tableColumn id="2" xr3:uid="{1B30C58D-85DB-4824-AFC9-7C16D30E4F62}" name="Species / morphology code (select from above)" dataDxfId="73"/>
    <tableColumn id="3" xr3:uid="{EB931948-6C60-4F4B-8BDE-ABE5FBDF5E1E}" name="height s (mm)" dataDxfId="72"/>
    <tableColumn id="4" xr3:uid="{C5D74127-5ED5-4301-B007-82107B41A7C2}" name="width s (mm)" dataDxfId="71"/>
    <tableColumn id="5" xr3:uid="{522654E2-E9B5-4ADB-8B0E-6F0F66229D9E}" name="height h (mm)" dataDxfId="70"/>
    <tableColumn id="6" xr3:uid="{022921B0-D0AD-4069-8E58-2291FF78E19B}" name="width w (mm)" dataDxfId="69"/>
    <tableColumn id="7" xr3:uid="{66B9E58F-A2CF-4EFC-95D1-193B5ABA7660}" name="depth d (mm)" dataDxfId="68"/>
    <tableColumn id="8" xr3:uid="{A56FD1C1-8922-4054-BB08-7AD285414F40}" name="Radius stem (mm)" dataDxfId="67">
      <calculatedColumnFormula>D155*0.5</calculatedColumnFormula>
    </tableColumn>
    <tableColumn id="9" xr3:uid="{F8291480-8FB2-4EEF-A6F1-BEC49447020E}" name="Volume of stem cylinder (cm3)" dataDxfId="66">
      <calculatedColumnFormula>(PI()*(H155*H155)*C155)/1000</calculatedColumnFormula>
    </tableColumn>
    <tableColumn id="10" xr3:uid="{DC89E258-C36D-4797-ABBE-77358C214A9A}" name="Volume of ellipsoid (cm3)" dataDxfId="65">
      <calculatedColumnFormula>((PI()/6)*(E155*F155*G155))/1000</calculatedColumnFormula>
    </tableColumn>
    <tableColumn id="11" xr3:uid="{28F3ADE9-2FAA-43DF-9256-4B576259AF26}" name="Total thallus volume (cm3)" dataDxfId="64">
      <calculatedColumnFormula>J155+I155</calculatedColumnFormula>
    </tableColumn>
    <tableColumn id="12" xr3:uid="{B06F4F28-9E79-40A3-B8B7-AFDC33BAB717}" name="Crops per year" dataDxfId="63">
      <calculatedColumnFormula>IF(B155=1,$D$10,IF(B155=2,$D$11,IF(B155=3,$D$12,IF(B155=4,$D$13,))))</calculatedColumnFormula>
    </tableColumn>
    <tableColumn id="13" xr3:uid="{4BD1A1A9-4A06-4A6E-AD3D-57DE4FA95DDE}" name="CaCO3 (g) to volume relationship" dataDxfId="62">
      <calculatedColumnFormula>IF(B155=1,$G$10,IF(B155=2,$G$11,IF(B155=3,$G$12,IF(B155=4,$G$13,))))</calculatedColumnFormula>
    </tableColumn>
    <tableColumn id="14" xr3:uid="{83365626-7320-4C28-83AD-483DE256E1B7}" name="CaCO3 prod (g) /thallus/yr" dataDxfId="61">
      <calculatedColumnFormula>(K155*M155)*L155</calculatedColumnFormula>
    </tableColumn>
    <tableColumn id="15" xr3:uid="{05945A07-39E7-40A3-ADAC-61B6CDF0547C}" name="g CaCO3/m2/yr" dataDxfId="60">
      <calculatedColumnFormula>(N155)*(1/$B$6)</calculatedColumnFormula>
    </tableColumn>
    <tableColumn id="16" xr3:uid="{2A5A5268-C044-4AEB-9C2E-19015DE9AFFD}" name="kg CaCO3/m2/yr" dataDxfId="59">
      <calculatedColumnFormula>O155/1000</calculatedColumnFormula>
    </tableColumn>
    <tableColumn id="17" xr3:uid="{4C448A6A-8CCE-4CEF-91E0-F6426D762986}" name="." dataDxfId="58"/>
    <tableColumn id="18" xr3:uid="{45C8E3BF-D879-4E05-B0DA-E18649DD039F}" name="Species 1" dataDxfId="57">
      <calculatedColumnFormula>IF(B155=1, P155,"")</calculatedColumnFormula>
    </tableColumn>
    <tableColumn id="19" xr3:uid="{975D42F4-1B1F-4318-87B5-BE3E6E970A3A}" name="Species 2" dataDxfId="56">
      <calculatedColumnFormula>IF(B155=2, P155,"")</calculatedColumnFormula>
    </tableColumn>
    <tableColumn id="20" xr3:uid="{E45824C2-DC1B-49B5-87AE-571D5F2FFA4A}" name="Species 3" dataDxfId="55">
      <calculatedColumnFormula>IF(B155=3, P155,"")</calculatedColumnFormula>
    </tableColumn>
    <tableColumn id="21" xr3:uid="{B39ACCCF-9621-496A-87D7-BD2BB7596B46}" name="Species 4" dataDxfId="54">
      <calculatedColumnFormula>IF(B155=4, P155,"")</calculatedColumnFormula>
    </tableColumn>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71D7FFF7-496F-48ED-9E45-05D1F2EE5284}" name="TableR10" displayName="TableR10" ref="A170:U180" totalsRowShown="0" headerRowDxfId="53" dataDxfId="52" tableBorderDxfId="51">
  <tableColumns count="21">
    <tableColumn id="1" xr3:uid="{C7ECB8C2-F250-429D-B0D5-14CC040F6F5A}" name="Quadrat #" dataDxfId="50">
      <calculatedColumnFormula>10</calculatedColumnFormula>
    </tableColumn>
    <tableColumn id="2" xr3:uid="{C977C40C-6D45-4DDD-A4A6-8899FC20292F}" name="Species / morphology code (select from above)" dataDxfId="49"/>
    <tableColumn id="3" xr3:uid="{65FC2B6A-58AF-4221-9672-9E8DF58F697B}" name="height s (mm)" dataDxfId="48"/>
    <tableColumn id="4" xr3:uid="{D54201FA-B6CE-4F00-8CA8-18FFA9E6EAB6}" name="width s (mm)" dataDxfId="47"/>
    <tableColumn id="5" xr3:uid="{7CE507E2-8649-44B9-BB1E-3CD11265BD01}" name="height h (mm)" dataDxfId="46"/>
    <tableColumn id="6" xr3:uid="{6D58A99C-79AB-4630-A164-3DE76FAAE2C2}" name="width w (mm)" dataDxfId="45"/>
    <tableColumn id="7" xr3:uid="{87EAD341-581B-4862-B6E1-94373CFE5031}" name="depth d (mm)" dataDxfId="44"/>
    <tableColumn id="8" xr3:uid="{2D1263D7-00DE-4781-ABE5-27FEB7DC1DE0}" name="Radius stem (mm)" dataDxfId="43">
      <calculatedColumnFormula>D171*0.5</calculatedColumnFormula>
    </tableColumn>
    <tableColumn id="9" xr3:uid="{B8344FDB-006C-46F6-8851-3DF2981F3837}" name="Volume of stem cylinder (cm3)" dataDxfId="42">
      <calculatedColumnFormula>(PI()*(H171*H171)*C171)/1000</calculatedColumnFormula>
    </tableColumn>
    <tableColumn id="10" xr3:uid="{306E94A7-582A-4A91-ACDE-831B50119032}" name="Volume of ellipsoid (cm3)" dataDxfId="41">
      <calculatedColumnFormula>((PI()/6)*(E171*F171*G171))/1000</calculatedColumnFormula>
    </tableColumn>
    <tableColumn id="11" xr3:uid="{217880B1-EA0A-4450-B1D4-3585425F9028}" name="Total thallus volume (cm3)" dataDxfId="40">
      <calculatedColumnFormula>J171+I171</calculatedColumnFormula>
    </tableColumn>
    <tableColumn id="12" xr3:uid="{B7377412-BE05-47C4-B9B6-D0C928D5065C}" name="Crops per year" dataDxfId="39">
      <calculatedColumnFormula>IF(B171=1,$D$10,IF(B171=2,$D$11,IF(B171=3,$D$12,IF(B171=4,$D$13,))))</calculatedColumnFormula>
    </tableColumn>
    <tableColumn id="13" xr3:uid="{D45B53D5-C1F5-449A-AA3F-187E09A91F22}" name="CaCO3 (g) to volume relationship" dataDxfId="38">
      <calculatedColumnFormula>IF(B171=1,$G$10,IF(B171=2,$G$11,IF(B171=3,$G$12,IF(B171=4,$G$13,))))</calculatedColumnFormula>
    </tableColumn>
    <tableColumn id="14" xr3:uid="{6081235F-1DAF-4441-9890-FF38097D3008}" name="CaCO3 prod (g) /thallus/yr" dataDxfId="37">
      <calculatedColumnFormula>(K171*M171)*L171</calculatedColumnFormula>
    </tableColumn>
    <tableColumn id="15" xr3:uid="{F96EFDF5-DA15-476A-A5B8-728DBDFDB48C}" name="g CaCO3/m2/yr" dataDxfId="36">
      <calculatedColumnFormula>(N171)*(1/$B$6)</calculatedColumnFormula>
    </tableColumn>
    <tableColumn id="16" xr3:uid="{C92D9F68-205F-4CB1-AEAF-4729D5041272}" name="kg CaCO3/m2/yr" dataDxfId="35">
      <calculatedColumnFormula>O171/1000</calculatedColumnFormula>
    </tableColumn>
    <tableColumn id="17" xr3:uid="{696B4592-C7BA-42B5-92EB-528094EAAAFB}" name="." dataDxfId="34"/>
    <tableColumn id="18" xr3:uid="{7AF3BCA6-276B-4D96-A84E-B54F08196816}" name="Species 1" dataDxfId="33">
      <calculatedColumnFormula>IF(B171=1, P171,"")</calculatedColumnFormula>
    </tableColumn>
    <tableColumn id="19" xr3:uid="{DDFE9566-F4FF-417E-AEC0-60F0CC338E20}" name="Species 2" dataDxfId="32">
      <calculatedColumnFormula>IF(B171=2, P171,"")</calculatedColumnFormula>
    </tableColumn>
    <tableColumn id="20" xr3:uid="{48B67DAC-8C3A-4B34-A99E-2BB8CF96E026}" name="Species 3" dataDxfId="31">
      <calculatedColumnFormula>IF(B171=3, P171,"")</calculatedColumnFormula>
    </tableColumn>
    <tableColumn id="21" xr3:uid="{23F31ACA-614F-4B9D-A986-E94F8E5C42B8}" name="Species 4" dataDxfId="30">
      <calculatedColumnFormula>IF(B171=4, P171,"")</calculatedColumnFormula>
    </tableColumn>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DA2D9A0-D08A-4CA4-9B70-87571DD00C2A}" name="ACALookup" displayName="ACALookup" ref="A5:H8" totalsRowShown="0" headerRowDxfId="29" dataDxfId="27" headerRowBorderDxfId="28" tableBorderDxfId="26" totalsRowBorderDxfId="25">
  <tableColumns count="8">
    <tableColumn id="1" xr3:uid="{2C810258-41E1-45EB-A261-61083FD3A958}" name="Species" dataDxfId="24"/>
    <tableColumn id="2" xr3:uid="{189E8B25-7370-4649-A68D-5E807D25DA77}" name="Species Code" dataDxfId="23"/>
    <tableColumn id="3" xr3:uid="{38C70F0A-B820-48AE-869B-63D508C12133}" name="Volume Threshold" dataDxfId="22"/>
    <tableColumn id="4" xr3:uid="{556F7F2E-3FCC-4332-830E-F7F3507E9AE3}" name="Formula Type" dataDxfId="21"/>
    <tableColumn id="5" xr3:uid="{31000A30-D8C9-44BC-AEFE-CBA617391DF6}" name="A" dataDxfId="20"/>
    <tableColumn id="6" xr3:uid="{0625EB42-4853-4822-B862-03120C1769A6}" name="B" dataDxfId="19"/>
    <tableColumn id="7" xr3:uid="{65D8B35C-C25C-4168-8F5F-A166C423BB42}" name="Equation used when volume (V) is above the threshold " dataDxfId="18"/>
    <tableColumn id="8" xr3:uid="{A8A00562-EB50-401C-8A7F-F161C44D0BBE}" name="Source" dataDxfId="17"/>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279BD29-16D1-4237-ABFD-94C7103C382F}" name="GrainTypeMetricsTable" displayName="GrainTypeMetricsTable" ref="A3:L18" totalsRowShown="0" headerRowDxfId="16" dataDxfId="14" headerRowBorderDxfId="15" tableBorderDxfId="13" totalsRowBorderDxfId="12">
  <tableColumns count="12">
    <tableColumn id="1" xr3:uid="{6A54D25B-4DC5-4914-B57C-E2C56F23328B}" name="Producer Group" dataDxfId="11"/>
    <tableColumn id="2" xr3:uid="{8A2A5D60-64C0-4337-9DE7-0116141AA90D}" name="Coral" dataDxfId="10"/>
    <tableColumn id="3" xr3:uid="{83F2D8DE-615C-49F1-904A-2ED88495664D}" name="Coralline algae" dataDxfId="9"/>
    <tableColumn id="4" xr3:uid="{69327DF9-9880-4F95-986E-36894A4AA943}" name="Halimeda" dataDxfId="8"/>
    <tableColumn id="5" xr3:uid="{8270A299-FC9F-4E14-8175-5D3A54168C01}" name="Other calcareous green algae" dataDxfId="7"/>
    <tableColumn id="6" xr3:uid="{FD7EEF87-E8BA-414D-8591-C9C004E67245}" name="Foraminifera" dataDxfId="6"/>
    <tableColumn id="7" xr3:uid="{D99562E5-F2CF-4B17-9756-3DAD7DF2AB7A}" name="Molluscs (bivalves and gastropods)" dataDxfId="5"/>
    <tableColumn id="8" xr3:uid="{E893C35A-27AB-4963-8703-1943A27D6953}" name="Urchin skeleton" dataDxfId="4"/>
    <tableColumn id="9" xr3:uid="{AC68184D-C06E-4650-AB0F-E2D06D38DB8A}" name="Bryozoan" dataDxfId="3"/>
    <tableColumn id="10" xr3:uid="{1EBBFAEF-A9DF-412F-B227-134530F4247E}" name="Brittle star skeleton" dataDxfId="2"/>
    <tableColumn id="11" xr3:uid="{22D161F8-1366-436B-B709-8D50647461F1}" name="Serpulids and worm tubes" dataDxfId="1"/>
    <tableColumn id="12" xr3:uid="{373CC6CD-DED5-41BF-939B-3D969998D3CE}" name="Other"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9.xml.rels><?xml version="1.0" encoding="UTF-8" standalone="yes"?>
<Relationships xmlns="http://schemas.openxmlformats.org/package/2006/relationships"><Relationship Id="rId8" Type="http://schemas.openxmlformats.org/officeDocument/2006/relationships/table" Target="../tables/table17.xml"/><Relationship Id="rId3" Type="http://schemas.openxmlformats.org/officeDocument/2006/relationships/table" Target="../tables/table12.xml"/><Relationship Id="rId7" Type="http://schemas.openxmlformats.org/officeDocument/2006/relationships/table" Target="../tables/table16.xml"/><Relationship Id="rId2" Type="http://schemas.openxmlformats.org/officeDocument/2006/relationships/table" Target="../tables/table11.xml"/><Relationship Id="rId1" Type="http://schemas.openxmlformats.org/officeDocument/2006/relationships/printerSettings" Target="../printerSettings/printerSettings7.bin"/><Relationship Id="rId6" Type="http://schemas.openxmlformats.org/officeDocument/2006/relationships/table" Target="../tables/table15.xml"/><Relationship Id="rId11" Type="http://schemas.openxmlformats.org/officeDocument/2006/relationships/table" Target="../tables/table20.xml"/><Relationship Id="rId5" Type="http://schemas.openxmlformats.org/officeDocument/2006/relationships/table" Target="../tables/table14.xml"/><Relationship Id="rId10" Type="http://schemas.openxmlformats.org/officeDocument/2006/relationships/table" Target="../tables/table19.xml"/><Relationship Id="rId4" Type="http://schemas.openxmlformats.org/officeDocument/2006/relationships/table" Target="../tables/table13.xml"/><Relationship Id="rId9" Type="http://schemas.openxmlformats.org/officeDocument/2006/relationships/table" Target="../tables/table18.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8" Type="http://schemas.openxmlformats.org/officeDocument/2006/relationships/table" Target="../tables/table27.xml"/><Relationship Id="rId3" Type="http://schemas.openxmlformats.org/officeDocument/2006/relationships/table" Target="../tables/table22.xml"/><Relationship Id="rId7" Type="http://schemas.openxmlformats.org/officeDocument/2006/relationships/table" Target="../tables/table26.xml"/><Relationship Id="rId2" Type="http://schemas.openxmlformats.org/officeDocument/2006/relationships/table" Target="../tables/table21.xml"/><Relationship Id="rId1" Type="http://schemas.openxmlformats.org/officeDocument/2006/relationships/printerSettings" Target="../printerSettings/printerSettings9.bin"/><Relationship Id="rId6" Type="http://schemas.openxmlformats.org/officeDocument/2006/relationships/table" Target="../tables/table25.xml"/><Relationship Id="rId11" Type="http://schemas.openxmlformats.org/officeDocument/2006/relationships/table" Target="../tables/table30.xml"/><Relationship Id="rId5" Type="http://schemas.openxmlformats.org/officeDocument/2006/relationships/table" Target="../tables/table24.xml"/><Relationship Id="rId10" Type="http://schemas.openxmlformats.org/officeDocument/2006/relationships/table" Target="../tables/table29.xml"/><Relationship Id="rId4" Type="http://schemas.openxmlformats.org/officeDocument/2006/relationships/table" Target="../tables/table23.xml"/><Relationship Id="rId9" Type="http://schemas.openxmlformats.org/officeDocument/2006/relationships/table" Target="../tables/table28.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8" Type="http://schemas.openxmlformats.org/officeDocument/2006/relationships/table" Target="../tables/table37.xml"/><Relationship Id="rId3" Type="http://schemas.openxmlformats.org/officeDocument/2006/relationships/table" Target="../tables/table32.xml"/><Relationship Id="rId7" Type="http://schemas.openxmlformats.org/officeDocument/2006/relationships/table" Target="../tables/table36.xml"/><Relationship Id="rId2" Type="http://schemas.openxmlformats.org/officeDocument/2006/relationships/table" Target="../tables/table31.xml"/><Relationship Id="rId1" Type="http://schemas.openxmlformats.org/officeDocument/2006/relationships/printerSettings" Target="../printerSettings/printerSettings11.bin"/><Relationship Id="rId6" Type="http://schemas.openxmlformats.org/officeDocument/2006/relationships/table" Target="../tables/table35.xml"/><Relationship Id="rId11" Type="http://schemas.openxmlformats.org/officeDocument/2006/relationships/table" Target="../tables/table40.xml"/><Relationship Id="rId5" Type="http://schemas.openxmlformats.org/officeDocument/2006/relationships/table" Target="../tables/table34.xml"/><Relationship Id="rId10" Type="http://schemas.openxmlformats.org/officeDocument/2006/relationships/table" Target="../tables/table39.xml"/><Relationship Id="rId4" Type="http://schemas.openxmlformats.org/officeDocument/2006/relationships/table" Target="../tables/table33.xml"/><Relationship Id="rId9" Type="http://schemas.openxmlformats.org/officeDocument/2006/relationships/table" Target="../tables/table38.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8" Type="http://schemas.openxmlformats.org/officeDocument/2006/relationships/table" Target="../tables/table48.xml"/><Relationship Id="rId3" Type="http://schemas.openxmlformats.org/officeDocument/2006/relationships/table" Target="../tables/table43.xml"/><Relationship Id="rId7" Type="http://schemas.openxmlformats.org/officeDocument/2006/relationships/table" Target="../tables/table47.xml"/><Relationship Id="rId2" Type="http://schemas.openxmlformats.org/officeDocument/2006/relationships/table" Target="../tables/table42.xml"/><Relationship Id="rId1" Type="http://schemas.openxmlformats.org/officeDocument/2006/relationships/table" Target="../tables/table41.xml"/><Relationship Id="rId6" Type="http://schemas.openxmlformats.org/officeDocument/2006/relationships/table" Target="../tables/table46.xml"/><Relationship Id="rId5" Type="http://schemas.openxmlformats.org/officeDocument/2006/relationships/table" Target="../tables/table45.xml"/><Relationship Id="rId10" Type="http://schemas.openxmlformats.org/officeDocument/2006/relationships/table" Target="../tables/table50.xml"/><Relationship Id="rId4" Type="http://schemas.openxmlformats.org/officeDocument/2006/relationships/table" Target="../tables/table44.xml"/><Relationship Id="rId9" Type="http://schemas.openxmlformats.org/officeDocument/2006/relationships/table" Target="../tables/table49.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1" Type="http://schemas.openxmlformats.org/officeDocument/2006/relationships/table" Target="../tables/table51.xml"/></Relationships>
</file>

<file path=xl/worksheets/_rels/sheet26.xml.rels><?xml version="1.0" encoding="UTF-8" standalone="yes"?>
<Relationships xmlns="http://schemas.openxmlformats.org/package/2006/relationships"><Relationship Id="rId1" Type="http://schemas.openxmlformats.org/officeDocument/2006/relationships/table" Target="../tables/table5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4"/>
  <sheetViews>
    <sheetView tabSelected="1" zoomScaleNormal="100" workbookViewId="0">
      <pane ySplit="1" topLeftCell="A2" activePane="bottomLeft" state="frozen"/>
      <selection pane="bottomLeft"/>
    </sheetView>
  </sheetViews>
  <sheetFormatPr defaultColWidth="8.85546875" defaultRowHeight="16.5" x14ac:dyDescent="0.3"/>
  <cols>
    <col min="1" max="1" width="37" style="3" customWidth="1"/>
    <col min="2" max="2" width="18.7109375" style="3" customWidth="1"/>
    <col min="3" max="3" width="20.42578125" style="5" customWidth="1"/>
    <col min="4" max="4" width="24.42578125" style="3" bestFit="1" customWidth="1"/>
    <col min="5" max="5" width="22" style="3" customWidth="1"/>
    <col min="6" max="6" width="15.28515625" style="3" customWidth="1"/>
    <col min="7" max="26" width="9.28515625" style="3"/>
  </cols>
  <sheetData>
    <row r="1" spans="1:26" s="47" customFormat="1" ht="33" customHeight="1" x14ac:dyDescent="0.25">
      <c r="A1" s="90" t="s">
        <v>0</v>
      </c>
      <c r="B1" s="90" t="s">
        <v>1</v>
      </c>
      <c r="C1" s="91" t="s">
        <v>2</v>
      </c>
      <c r="D1" s="91" t="s">
        <v>3</v>
      </c>
      <c r="E1" s="44"/>
      <c r="F1" s="44"/>
      <c r="G1" s="44"/>
      <c r="H1" s="44"/>
      <c r="I1" s="44"/>
      <c r="J1" s="44"/>
      <c r="K1" s="44"/>
      <c r="L1" s="44"/>
      <c r="M1" s="44"/>
      <c r="N1" s="44"/>
      <c r="O1" s="44"/>
      <c r="P1" s="44"/>
      <c r="Q1" s="44"/>
      <c r="R1" s="44"/>
      <c r="S1" s="44"/>
      <c r="T1" s="44"/>
      <c r="U1" s="44"/>
      <c r="V1" s="44"/>
      <c r="W1" s="44"/>
      <c r="X1" s="44"/>
      <c r="Y1" s="44"/>
      <c r="Z1" s="44"/>
    </row>
    <row r="2" spans="1:26" ht="51.75" customHeight="1" x14ac:dyDescent="0.3">
      <c r="A2" s="52"/>
      <c r="B2" s="52"/>
      <c r="C2" s="53"/>
      <c r="D2" s="53"/>
      <c r="E2" s="526"/>
      <c r="F2" s="526"/>
    </row>
    <row r="3" spans="1:26" ht="10.35" customHeight="1" x14ac:dyDescent="0.3"/>
    <row r="4" spans="1:26" ht="119.45" customHeight="1" x14ac:dyDescent="0.3">
      <c r="A4" s="558" t="s">
        <v>1032</v>
      </c>
      <c r="B4" s="558"/>
      <c r="C4" s="558"/>
      <c r="D4" s="558"/>
      <c r="E4" s="558"/>
    </row>
  </sheetData>
  <sheetProtection selectLockedCells="1" selectUnlockedCells="1"/>
  <mergeCells count="1">
    <mergeCell ref="A4:E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53F91-42DE-4E54-A024-102E97CD4E9B}">
  <sheetPr codeName="Sheet2"/>
  <dimension ref="A1:O62"/>
  <sheetViews>
    <sheetView zoomScale="75" zoomScaleNormal="75" workbookViewId="0">
      <selection activeCell="C46" sqref="C46"/>
    </sheetView>
  </sheetViews>
  <sheetFormatPr defaultColWidth="8.85546875" defaultRowHeight="16.5" x14ac:dyDescent="0.3"/>
  <cols>
    <col min="1" max="1" width="25.140625" style="3" customWidth="1"/>
    <col min="2" max="2" width="12.85546875" style="12" customWidth="1"/>
    <col min="3" max="3" width="22.140625" style="12" bestFit="1" customWidth="1"/>
    <col min="4" max="4" width="16.85546875" style="12" customWidth="1"/>
    <col min="5" max="5" width="24.140625" style="12" bestFit="1" customWidth="1"/>
    <col min="6" max="8" width="12.85546875" style="12" customWidth="1"/>
    <col min="9" max="13" width="12.85546875" style="3" customWidth="1"/>
    <col min="14" max="14" width="14.7109375" style="3" customWidth="1"/>
    <col min="15" max="15" width="24.7109375" style="3" bestFit="1" customWidth="1"/>
    <col min="16" max="16384" width="8.85546875" style="3"/>
  </cols>
  <sheetData>
    <row r="1" spans="1:15" x14ac:dyDescent="0.3">
      <c r="A1" s="4" t="s">
        <v>6</v>
      </c>
      <c r="B1" s="342" t="str">
        <f>IF((Substrate!$B$3) = "", "", (Substrate!$B$3))</f>
        <v/>
      </c>
    </row>
    <row r="2" spans="1:15" x14ac:dyDescent="0.3">
      <c r="A2" s="4"/>
    </row>
    <row r="3" spans="1:15" x14ac:dyDescent="0.3">
      <c r="B3" s="4" t="s">
        <v>939</v>
      </c>
    </row>
    <row r="4" spans="1:15" x14ac:dyDescent="0.3">
      <c r="B4" s="342" t="s">
        <v>11</v>
      </c>
      <c r="C4" s="342" t="s">
        <v>12</v>
      </c>
      <c r="D4" s="342" t="s">
        <v>748</v>
      </c>
      <c r="E4" s="342" t="s">
        <v>749</v>
      </c>
      <c r="F4" s="342" t="s">
        <v>15</v>
      </c>
      <c r="G4" s="342" t="s">
        <v>16</v>
      </c>
      <c r="H4" s="342" t="s">
        <v>17</v>
      </c>
      <c r="I4" s="342" t="s">
        <v>18</v>
      </c>
      <c r="J4" s="342" t="s">
        <v>860</v>
      </c>
      <c r="K4" s="342" t="s">
        <v>750</v>
      </c>
    </row>
    <row r="5" spans="1:15" x14ac:dyDescent="0.3">
      <c r="B5" s="143" t="str">
        <f>Substrate!C19</f>
        <v/>
      </c>
      <c r="C5" s="143" t="str">
        <f>Substrate!D19</f>
        <v/>
      </c>
      <c r="D5" s="143" t="str">
        <f>Substrate!E19</f>
        <v/>
      </c>
      <c r="E5" s="143" t="str">
        <f>Substrate!F19</f>
        <v/>
      </c>
      <c r="F5" s="143" t="str">
        <f>Substrate!G19</f>
        <v/>
      </c>
      <c r="G5" s="143" t="str">
        <f>Substrate!H19</f>
        <v/>
      </c>
      <c r="H5" s="143" t="str">
        <f>Substrate!I19</f>
        <v/>
      </c>
      <c r="I5" s="143" t="str">
        <f>Substrate!J19</f>
        <v/>
      </c>
      <c r="J5" s="181">
        <f>Substrate!K19</f>
        <v>0</v>
      </c>
      <c r="K5" s="143" t="str">
        <f>Substrate!I33</f>
        <v/>
      </c>
    </row>
    <row r="6" spans="1:15" x14ac:dyDescent="0.3">
      <c r="A6" s="4"/>
      <c r="B6" s="28"/>
      <c r="C6" s="28"/>
      <c r="D6" s="28"/>
    </row>
    <row r="7" spans="1:15" x14ac:dyDescent="0.3">
      <c r="D7" s="28"/>
    </row>
    <row r="8" spans="1:15" ht="18" x14ac:dyDescent="0.3">
      <c r="B8" s="4" t="s">
        <v>938</v>
      </c>
    </row>
    <row r="9" spans="1:15" x14ac:dyDescent="0.3">
      <c r="B9" s="342" t="s">
        <v>67</v>
      </c>
      <c r="C9" s="342" t="s">
        <v>68</v>
      </c>
      <c r="D9" s="342" t="s">
        <v>69</v>
      </c>
      <c r="E9" s="342" t="s">
        <v>70</v>
      </c>
      <c r="F9" s="342" t="s">
        <v>71</v>
      </c>
      <c r="G9" s="342" t="s">
        <v>72</v>
      </c>
      <c r="H9" s="342" t="s">
        <v>73</v>
      </c>
      <c r="I9" s="351" t="s">
        <v>74</v>
      </c>
      <c r="J9" s="351" t="s">
        <v>75</v>
      </c>
      <c r="K9" s="351" t="s">
        <v>76</v>
      </c>
      <c r="L9" s="351" t="s">
        <v>77</v>
      </c>
      <c r="M9" s="351" t="s">
        <v>78</v>
      </c>
    </row>
    <row r="10" spans="1:15" ht="33" x14ac:dyDescent="0.3">
      <c r="A10" s="4" t="s">
        <v>810</v>
      </c>
      <c r="B10" s="342" t="s">
        <v>80</v>
      </c>
      <c r="C10" s="342" t="s">
        <v>81</v>
      </c>
      <c r="D10" s="342" t="s">
        <v>82</v>
      </c>
      <c r="E10" s="342" t="s">
        <v>83</v>
      </c>
      <c r="F10" s="342" t="s">
        <v>84</v>
      </c>
      <c r="G10" s="342" t="s">
        <v>85</v>
      </c>
      <c r="H10" s="342" t="s">
        <v>86</v>
      </c>
      <c r="I10" s="351" t="s">
        <v>87</v>
      </c>
      <c r="J10" s="351" t="s">
        <v>88</v>
      </c>
      <c r="K10" s="351" t="s">
        <v>89</v>
      </c>
      <c r="L10" s="351" t="s">
        <v>90</v>
      </c>
      <c r="M10" s="351" t="s">
        <v>91</v>
      </c>
      <c r="N10" s="352" t="s">
        <v>821</v>
      </c>
      <c r="O10" s="342" t="s">
        <v>987</v>
      </c>
    </row>
    <row r="11" spans="1:15" x14ac:dyDescent="0.3">
      <c r="A11" s="4" t="s">
        <v>957</v>
      </c>
      <c r="B11" s="142" t="str">
        <f>'Urchins Bioerosion'!B106</f>
        <v/>
      </c>
      <c r="C11" s="142" t="str">
        <f>'Urchins Bioerosion'!C106</f>
        <v/>
      </c>
      <c r="D11" s="142" t="str">
        <f>'Urchins Bioerosion'!D106</f>
        <v/>
      </c>
      <c r="E11" s="142" t="str">
        <f>'Urchins Bioerosion'!E106</f>
        <v/>
      </c>
      <c r="F11" s="142" t="str">
        <f>'Urchins Bioerosion'!F106</f>
        <v/>
      </c>
      <c r="G11" s="142" t="str">
        <f>'Urchins Bioerosion'!G106</f>
        <v/>
      </c>
      <c r="H11" s="142" t="str">
        <f>'Urchins Bioerosion'!H106</f>
        <v/>
      </c>
      <c r="I11" s="142" t="str">
        <f>'Urchins Bioerosion'!I106</f>
        <v/>
      </c>
      <c r="J11" s="142" t="str">
        <f>'Urchins Bioerosion'!J106</f>
        <v/>
      </c>
      <c r="K11" s="142" t="str">
        <f>'Urchins Bioerosion'!K106</f>
        <v/>
      </c>
      <c r="L11" s="142" t="str">
        <f>'Urchins Bioerosion'!L106</f>
        <v/>
      </c>
      <c r="M11" s="142" t="str">
        <f>'Urchins Bioerosion'!M106</f>
        <v/>
      </c>
      <c r="N11" s="142" t="str">
        <f t="shared" ref="N11:N24" si="0">IF(COUNT(B11:M11)=0,"", SUM(B11:M11))</f>
        <v/>
      </c>
      <c r="O11" s="142" t="e">
        <f t="shared" ref="O11:O24" si="1">N11/SUM($N$11:$N$24)</f>
        <v>#VALUE!</v>
      </c>
    </row>
    <row r="12" spans="1:15" x14ac:dyDescent="0.3">
      <c r="A12" s="4" t="s">
        <v>958</v>
      </c>
      <c r="B12" s="142" t="str">
        <f>'Urchins Skeletal'!B132</f>
        <v/>
      </c>
      <c r="C12" s="142" t="str">
        <f>'Urchins Skeletal'!C132</f>
        <v/>
      </c>
      <c r="D12" s="142" t="str">
        <f>'Urchins Skeletal'!D132</f>
        <v/>
      </c>
      <c r="E12" s="142" t="str">
        <f>'Urchins Skeletal'!E132</f>
        <v/>
      </c>
      <c r="F12" s="142" t="str">
        <f>'Urchins Skeletal'!F132</f>
        <v/>
      </c>
      <c r="G12" s="142" t="str">
        <f>'Urchins Skeletal'!G132</f>
        <v/>
      </c>
      <c r="H12" s="142" t="str">
        <f>'Urchins Skeletal'!H132</f>
        <v/>
      </c>
      <c r="I12" s="142" t="str">
        <f>'Urchins Skeletal'!I132</f>
        <v/>
      </c>
      <c r="J12" s="142" t="str">
        <f>'Urchins Skeletal'!J132</f>
        <v/>
      </c>
      <c r="K12" s="142" t="str">
        <f>'Urchins Skeletal'!K132</f>
        <v/>
      </c>
      <c r="L12" s="142" t="str">
        <f>'Urchins Skeletal'!L132</f>
        <v/>
      </c>
      <c r="M12" s="142" t="str">
        <f>'Urchins Skeletal'!M132</f>
        <v/>
      </c>
      <c r="N12" s="142" t="str">
        <f t="shared" si="0"/>
        <v/>
      </c>
      <c r="O12" s="142" t="e">
        <f t="shared" si="1"/>
        <v>#VALUE!</v>
      </c>
    </row>
    <row r="13" spans="1:15" x14ac:dyDescent="0.3">
      <c r="A13" s="4" t="s">
        <v>832</v>
      </c>
      <c r="B13" s="142" t="str">
        <f>'Endolithic Sponges'!B77</f>
        <v/>
      </c>
      <c r="C13" s="142" t="str">
        <f>'Endolithic Sponges'!C77</f>
        <v/>
      </c>
      <c r="D13" s="142" t="str">
        <f>'Endolithic Sponges'!D77</f>
        <v/>
      </c>
      <c r="E13" s="142" t="str">
        <f>'Endolithic Sponges'!E77</f>
        <v/>
      </c>
      <c r="F13" s="142" t="str">
        <f>'Endolithic Sponges'!F77</f>
        <v/>
      </c>
      <c r="G13" s="142" t="str">
        <f>'Endolithic Sponges'!G77</f>
        <v/>
      </c>
      <c r="H13" s="142" t="str">
        <f>'Endolithic Sponges'!H77</f>
        <v/>
      </c>
      <c r="I13" s="142" t="str">
        <f>'Endolithic Sponges'!I77</f>
        <v/>
      </c>
      <c r="J13" s="142" t="str">
        <f>'Endolithic Sponges'!J77</f>
        <v/>
      </c>
      <c r="K13" s="142" t="str">
        <f>'Endolithic Sponges'!K77</f>
        <v/>
      </c>
      <c r="L13" s="142" t="str">
        <f>'Endolithic Sponges'!L77</f>
        <v/>
      </c>
      <c r="M13" s="142" t="str">
        <f>'Endolithic Sponges'!M77</f>
        <v/>
      </c>
      <c r="N13" s="142" t="str">
        <f t="shared" si="0"/>
        <v/>
      </c>
      <c r="O13" s="142" t="e">
        <f t="shared" si="1"/>
        <v>#VALUE!</v>
      </c>
    </row>
    <row r="14" spans="1:15" x14ac:dyDescent="0.3">
      <c r="A14" s="4" t="s">
        <v>833</v>
      </c>
      <c r="B14" s="142" t="str">
        <f>'Articulated Coralline Alage'!C234</f>
        <v/>
      </c>
      <c r="C14" s="142" t="str">
        <f>'Articulated Coralline Alage'!D234</f>
        <v/>
      </c>
      <c r="D14" s="142" t="str">
        <f>'Articulated Coralline Alage'!E234</f>
        <v/>
      </c>
      <c r="E14" s="142" t="str">
        <f>'Articulated Coralline Alage'!F234</f>
        <v/>
      </c>
      <c r="F14" s="142" t="str">
        <f>'Articulated Coralline Alage'!G234</f>
        <v/>
      </c>
      <c r="G14" s="142" t="str">
        <f>'Articulated Coralline Alage'!H234</f>
        <v/>
      </c>
      <c r="H14" s="142" t="str">
        <f>'Articulated Coralline Alage'!I234</f>
        <v/>
      </c>
      <c r="I14" s="142" t="str">
        <f>'Articulated Coralline Alage'!J234</f>
        <v/>
      </c>
      <c r="J14" s="142" t="str">
        <f>'Articulated Coralline Alage'!K234</f>
        <v/>
      </c>
      <c r="K14" s="142" t="str">
        <f>'Articulated Coralline Alage'!L234</f>
        <v/>
      </c>
      <c r="L14" s="142" t="str">
        <f>'Articulated Coralline Alage'!M234</f>
        <v/>
      </c>
      <c r="M14" s="142" t="str">
        <f>'Articulated Coralline Alage'!N234</f>
        <v/>
      </c>
      <c r="N14" s="142" t="str">
        <f t="shared" si="0"/>
        <v/>
      </c>
      <c r="O14" s="142" t="e">
        <f t="shared" si="1"/>
        <v>#VALUE!</v>
      </c>
    </row>
    <row r="15" spans="1:15" x14ac:dyDescent="0.3">
      <c r="A15" s="24" t="s">
        <v>751</v>
      </c>
      <c r="B15" s="142" t="str">
        <f>Halimeda!C228</f>
        <v/>
      </c>
      <c r="C15" s="142" t="str">
        <f>Halimeda!D228</f>
        <v/>
      </c>
      <c r="D15" s="142" t="str">
        <f>Halimeda!E228</f>
        <v/>
      </c>
      <c r="E15" s="142" t="str">
        <f>Halimeda!F228</f>
        <v/>
      </c>
      <c r="F15" s="142" t="str">
        <f>Halimeda!G228</f>
        <v/>
      </c>
      <c r="G15" s="142" t="str">
        <f>Halimeda!H228</f>
        <v/>
      </c>
      <c r="H15" s="142" t="str">
        <f>Halimeda!I228</f>
        <v/>
      </c>
      <c r="I15" s="142" t="str">
        <f>Halimeda!J228</f>
        <v/>
      </c>
      <c r="J15" s="142" t="str">
        <f>Halimeda!K228</f>
        <v/>
      </c>
      <c r="K15" s="142" t="str">
        <f>Halimeda!L228</f>
        <v/>
      </c>
      <c r="L15" s="142" t="str">
        <f>Halimeda!M228</f>
        <v/>
      </c>
      <c r="M15" s="142" t="str">
        <f>Halimeda!N228</f>
        <v/>
      </c>
      <c r="N15" s="142" t="str">
        <f t="shared" si="0"/>
        <v/>
      </c>
      <c r="O15" s="142" t="e">
        <f t="shared" si="1"/>
        <v>#VALUE!</v>
      </c>
    </row>
    <row r="16" spans="1:15" x14ac:dyDescent="0.3">
      <c r="A16" s="24" t="s">
        <v>411</v>
      </c>
      <c r="B16" s="142" t="str">
        <f>Penicillus!C212</f>
        <v/>
      </c>
      <c r="C16" s="142" t="str">
        <f>Penicillus!D212</f>
        <v/>
      </c>
      <c r="D16" s="142" t="str">
        <f>Penicillus!E212</f>
        <v/>
      </c>
      <c r="E16" s="142" t="str">
        <f>Penicillus!F212</f>
        <v/>
      </c>
      <c r="F16" s="142" t="str">
        <f>Penicillus!G212</f>
        <v/>
      </c>
      <c r="G16" s="142" t="str">
        <f>Penicillus!H212</f>
        <v/>
      </c>
      <c r="H16" s="142" t="str">
        <f>Penicillus!I212</f>
        <v/>
      </c>
      <c r="I16" s="142" t="str">
        <f>Penicillus!J212</f>
        <v/>
      </c>
      <c r="J16" s="142" t="str">
        <f>Penicillus!K212</f>
        <v/>
      </c>
      <c r="K16" s="142" t="str">
        <f>Penicillus!L212</f>
        <v/>
      </c>
      <c r="L16" s="142" t="str">
        <f>Penicillus!M212</f>
        <v/>
      </c>
      <c r="M16" s="142" t="str">
        <f>Penicillus!N212</f>
        <v/>
      </c>
      <c r="N16" s="142" t="str">
        <f t="shared" si="0"/>
        <v/>
      </c>
      <c r="O16" s="142" t="e">
        <f t="shared" si="1"/>
        <v>#VALUE!</v>
      </c>
    </row>
    <row r="17" spans="1:15" x14ac:dyDescent="0.3">
      <c r="A17" s="24" t="s">
        <v>752</v>
      </c>
      <c r="B17" s="142" t="str">
        <f>Udotea!C203</f>
        <v/>
      </c>
      <c r="C17" s="142" t="str">
        <f>Udotea!D203</f>
        <v/>
      </c>
      <c r="D17" s="142" t="str">
        <f>Udotea!E203</f>
        <v/>
      </c>
      <c r="E17" s="142" t="str">
        <f>Udotea!F203</f>
        <v/>
      </c>
      <c r="F17" s="142" t="str">
        <f>Udotea!G203</f>
        <v/>
      </c>
      <c r="G17" s="142" t="str">
        <f>Udotea!H203</f>
        <v/>
      </c>
      <c r="H17" s="142" t="str">
        <f>Udotea!I203</f>
        <v/>
      </c>
      <c r="I17" s="142" t="str">
        <f>Udotea!J203</f>
        <v/>
      </c>
      <c r="J17" s="142" t="str">
        <f>Udotea!K203</f>
        <v/>
      </c>
      <c r="K17" s="142" t="str">
        <f>Udotea!L203</f>
        <v/>
      </c>
      <c r="L17" s="142" t="str">
        <f>Udotea!M203</f>
        <v/>
      </c>
      <c r="M17" s="142" t="str">
        <f>Udotea!N203</f>
        <v/>
      </c>
      <c r="N17" s="142" t="str">
        <f t="shared" si="0"/>
        <v/>
      </c>
      <c r="O17" s="142" t="e">
        <f t="shared" si="1"/>
        <v>#VALUE!</v>
      </c>
    </row>
    <row r="18" spans="1:15" x14ac:dyDescent="0.3">
      <c r="A18" s="24" t="s">
        <v>554</v>
      </c>
      <c r="B18" s="142" t="str">
        <f>Rhipocephalus!C206</f>
        <v/>
      </c>
      <c r="C18" s="142" t="str">
        <f>Rhipocephalus!D206</f>
        <v/>
      </c>
      <c r="D18" s="142" t="str">
        <f>Rhipocephalus!E206</f>
        <v/>
      </c>
      <c r="E18" s="142" t="str">
        <f>Rhipocephalus!F206</f>
        <v/>
      </c>
      <c r="F18" s="142" t="str">
        <f>Rhipocephalus!G206</f>
        <v/>
      </c>
      <c r="G18" s="142" t="str">
        <f>Rhipocephalus!H206</f>
        <v/>
      </c>
      <c r="H18" s="142" t="str">
        <f>Rhipocephalus!I206</f>
        <v/>
      </c>
      <c r="I18" s="142" t="str">
        <f>Rhipocephalus!J206</f>
        <v/>
      </c>
      <c r="J18" s="142" t="str">
        <f>Rhipocephalus!K206</f>
        <v/>
      </c>
      <c r="K18" s="142" t="str">
        <f>Rhipocephalus!L206</f>
        <v/>
      </c>
      <c r="L18" s="142" t="str">
        <f>Rhipocephalus!M206</f>
        <v/>
      </c>
      <c r="M18" s="142" t="str">
        <f>Rhipocephalus!N206</f>
        <v/>
      </c>
      <c r="N18" s="142" t="str">
        <f t="shared" si="0"/>
        <v/>
      </c>
      <c r="O18" s="142" t="e">
        <f t="shared" si="1"/>
        <v>#VALUE!</v>
      </c>
    </row>
    <row r="19" spans="1:15" x14ac:dyDescent="0.3">
      <c r="A19" s="24" t="s">
        <v>567</v>
      </c>
      <c r="B19" s="142" t="str">
        <f>Acetabularia!C50</f>
        <v/>
      </c>
      <c r="C19" s="142" t="str">
        <f>Acetabularia!D50</f>
        <v/>
      </c>
      <c r="D19" s="142" t="str">
        <f>Acetabularia!E50</f>
        <v/>
      </c>
      <c r="E19" s="142" t="str">
        <f>Acetabularia!F50</f>
        <v/>
      </c>
      <c r="F19" s="142" t="str">
        <f>Acetabularia!G50</f>
        <v/>
      </c>
      <c r="G19" s="142" t="str">
        <f>Acetabularia!H50</f>
        <v/>
      </c>
      <c r="H19" s="142" t="str">
        <f>Acetabularia!I50</f>
        <v/>
      </c>
      <c r="I19" s="142" t="str">
        <f>Acetabularia!J50</f>
        <v/>
      </c>
      <c r="J19" s="142" t="str">
        <f>Acetabularia!K50</f>
        <v/>
      </c>
      <c r="K19" s="142" t="str">
        <f>Acetabularia!L50</f>
        <v/>
      </c>
      <c r="L19" s="142" t="str">
        <f>Acetabularia!M50</f>
        <v/>
      </c>
      <c r="M19" s="142" t="str">
        <f>Acetabularia!N50</f>
        <v/>
      </c>
      <c r="N19" s="142" t="str">
        <f t="shared" si="0"/>
        <v/>
      </c>
      <c r="O19" s="142" t="e">
        <f t="shared" si="1"/>
        <v>#VALUE!</v>
      </c>
    </row>
    <row r="20" spans="1:15" x14ac:dyDescent="0.3">
      <c r="A20" s="4" t="s">
        <v>753</v>
      </c>
      <c r="B20" s="142" t="str">
        <f>Bivalves!C26</f>
        <v/>
      </c>
      <c r="C20" s="142" t="str">
        <f>Bivalves!D26</f>
        <v/>
      </c>
      <c r="D20" s="142" t="str">
        <f>Bivalves!E26</f>
        <v/>
      </c>
      <c r="E20" s="142" t="str">
        <f>Bivalves!F26</f>
        <v/>
      </c>
      <c r="F20" s="142" t="str">
        <f>Bivalves!G26</f>
        <v/>
      </c>
      <c r="G20" s="142" t="str">
        <f>Bivalves!H26</f>
        <v/>
      </c>
      <c r="H20" s="142" t="str">
        <f>Bivalves!I26</f>
        <v/>
      </c>
      <c r="I20" s="142" t="str">
        <f>Bivalves!J26</f>
        <v/>
      </c>
      <c r="J20" s="142" t="str">
        <f>Bivalves!K26</f>
        <v/>
      </c>
      <c r="K20" s="142" t="str">
        <f>Bivalves!L26</f>
        <v/>
      </c>
      <c r="L20" s="142" t="str">
        <f>Bivalves!M26</f>
        <v/>
      </c>
      <c r="M20" s="142" t="str">
        <f>Bivalves!N26</f>
        <v/>
      </c>
      <c r="N20" s="142" t="str">
        <f t="shared" si="0"/>
        <v/>
      </c>
      <c r="O20" s="142" t="e">
        <f t="shared" si="1"/>
        <v>#VALUE!</v>
      </c>
    </row>
    <row r="21" spans="1:15" x14ac:dyDescent="0.3">
      <c r="A21" s="4" t="s">
        <v>754</v>
      </c>
      <c r="B21" s="142" t="str">
        <f>Gastropods!C26</f>
        <v/>
      </c>
      <c r="C21" s="142" t="str">
        <f>Gastropods!D26</f>
        <v/>
      </c>
      <c r="D21" s="142" t="str">
        <f>Gastropods!E26</f>
        <v/>
      </c>
      <c r="E21" s="142" t="str">
        <f>Gastropods!F26</f>
        <v/>
      </c>
      <c r="F21" s="142" t="str">
        <f>Gastropods!G26</f>
        <v/>
      </c>
      <c r="G21" s="142" t="str">
        <f>Gastropods!H26</f>
        <v/>
      </c>
      <c r="H21" s="142" t="str">
        <f>Gastropods!I26</f>
        <v/>
      </c>
      <c r="I21" s="142" t="str">
        <f>Gastropods!J26</f>
        <v/>
      </c>
      <c r="J21" s="142" t="str">
        <f>Gastropods!K26</f>
        <v/>
      </c>
      <c r="K21" s="142" t="str">
        <f>Gastropods!L26</f>
        <v/>
      </c>
      <c r="L21" s="142" t="str">
        <f>Gastropods!M26</f>
        <v/>
      </c>
      <c r="M21" s="142" t="str">
        <f>Gastropods!N26</f>
        <v/>
      </c>
      <c r="N21" s="142" t="str">
        <f t="shared" si="0"/>
        <v/>
      </c>
      <c r="O21" s="142" t="e">
        <f t="shared" si="1"/>
        <v>#VALUE!</v>
      </c>
    </row>
    <row r="22" spans="1:15" x14ac:dyDescent="0.3">
      <c r="A22" s="4" t="s">
        <v>834</v>
      </c>
      <c r="B22" s="142" t="str">
        <f>'Benthic Foraminifera'!D41</f>
        <v/>
      </c>
      <c r="C22" s="142" t="str">
        <f>'Benthic Foraminifera'!E41</f>
        <v/>
      </c>
      <c r="D22" s="142" t="str">
        <f>'Benthic Foraminifera'!F41</f>
        <v/>
      </c>
      <c r="E22" s="142" t="str">
        <f>'Benthic Foraminifera'!G41</f>
        <v/>
      </c>
      <c r="F22" s="142" t="str">
        <f>'Benthic Foraminifera'!H41</f>
        <v/>
      </c>
      <c r="G22" s="142" t="str">
        <f>'Benthic Foraminifera'!I41</f>
        <v/>
      </c>
      <c r="H22" s="142" t="str">
        <f>'Benthic Foraminifera'!J41</f>
        <v/>
      </c>
      <c r="I22" s="142" t="str">
        <f>'Benthic Foraminifera'!K41</f>
        <v/>
      </c>
      <c r="J22" s="142" t="str">
        <f>'Benthic Foraminifera'!L41</f>
        <v/>
      </c>
      <c r="K22" s="142" t="str">
        <f>'Benthic Foraminifera'!M41</f>
        <v/>
      </c>
      <c r="L22" s="142" t="str">
        <f>'Benthic Foraminifera'!N41</f>
        <v/>
      </c>
      <c r="M22" s="142" t="str">
        <f>'Benthic Foraminifera'!O41</f>
        <v/>
      </c>
      <c r="N22" s="142" t="str">
        <f t="shared" si="0"/>
        <v/>
      </c>
      <c r="O22" s="142" t="e">
        <f t="shared" si="1"/>
        <v>#VALUE!</v>
      </c>
    </row>
    <row r="23" spans="1:15" x14ac:dyDescent="0.3">
      <c r="A23" s="4" t="s">
        <v>955</v>
      </c>
      <c r="B23" s="142" t="str">
        <f>'Seagrass Epibionts'!C43</f>
        <v/>
      </c>
      <c r="C23" s="142" t="str">
        <f>'Seagrass Epibionts'!D43</f>
        <v/>
      </c>
      <c r="D23" s="142" t="str">
        <f>'Seagrass Epibionts'!E43</f>
        <v/>
      </c>
      <c r="E23" s="142" t="str">
        <f>'Seagrass Epibionts'!F43</f>
        <v/>
      </c>
      <c r="F23" s="142" t="str">
        <f>'Seagrass Epibionts'!G43</f>
        <v/>
      </c>
      <c r="G23" s="142" t="str">
        <f>'Seagrass Epibionts'!H43</f>
        <v/>
      </c>
      <c r="H23" s="142" t="str">
        <f>'Seagrass Epibionts'!I43</f>
        <v/>
      </c>
      <c r="I23" s="142" t="str">
        <f>'Seagrass Epibionts'!J43</f>
        <v/>
      </c>
      <c r="J23" s="142" t="str">
        <f>'Seagrass Epibionts'!K43</f>
        <v/>
      </c>
      <c r="K23" s="142" t="str">
        <f>'Seagrass Epibionts'!L43</f>
        <v/>
      </c>
      <c r="L23" s="142" t="str">
        <f>'Seagrass Epibionts'!M43</f>
        <v/>
      </c>
      <c r="M23" s="142" t="str">
        <f>'Seagrass Epibionts'!N43</f>
        <v/>
      </c>
      <c r="N23" s="142" t="str">
        <f t="shared" si="0"/>
        <v/>
      </c>
      <c r="O23" s="142" t="e">
        <f t="shared" si="1"/>
        <v>#VALUE!</v>
      </c>
    </row>
    <row r="24" spans="1:15" x14ac:dyDescent="0.3">
      <c r="A24" s="4" t="s">
        <v>956</v>
      </c>
      <c r="B24" s="142" t="str">
        <f>'Brittle stars'!B100</f>
        <v/>
      </c>
      <c r="C24" s="142" t="str">
        <f>'Brittle stars'!C100</f>
        <v/>
      </c>
      <c r="D24" s="142" t="str">
        <f>'Brittle stars'!D100</f>
        <v/>
      </c>
      <c r="E24" s="142" t="str">
        <f>'Brittle stars'!E100</f>
        <v/>
      </c>
      <c r="F24" s="142" t="str">
        <f>'Brittle stars'!F100</f>
        <v/>
      </c>
      <c r="G24" s="142" t="str">
        <f>'Brittle stars'!G100</f>
        <v/>
      </c>
      <c r="H24" s="142" t="str">
        <f>'Brittle stars'!H100</f>
        <v/>
      </c>
      <c r="I24" s="142" t="str">
        <f>'Brittle stars'!I100</f>
        <v/>
      </c>
      <c r="J24" s="142" t="str">
        <f>'Brittle stars'!J100</f>
        <v/>
      </c>
      <c r="K24" s="142" t="str">
        <f>'Brittle stars'!K100</f>
        <v/>
      </c>
      <c r="L24" s="142" t="str">
        <f>'Brittle stars'!L100</f>
        <v/>
      </c>
      <c r="M24" s="142" t="str">
        <f>'Brittle stars'!M100</f>
        <v/>
      </c>
      <c r="N24" s="142" t="str">
        <f t="shared" si="0"/>
        <v/>
      </c>
      <c r="O24" s="142" t="e">
        <f t="shared" si="1"/>
        <v>#VALUE!</v>
      </c>
    </row>
    <row r="26" spans="1:15" x14ac:dyDescent="0.3">
      <c r="B26" s="20"/>
      <c r="C26" s="20"/>
      <c r="D26" s="3"/>
      <c r="E26" s="3"/>
      <c r="F26" s="3"/>
      <c r="G26" s="3"/>
      <c r="H26" s="3"/>
    </row>
    <row r="27" spans="1:15" ht="18" x14ac:dyDescent="0.3">
      <c r="B27" s="4" t="s">
        <v>937</v>
      </c>
      <c r="C27" s="20"/>
      <c r="D27" s="3"/>
      <c r="E27" s="3"/>
      <c r="F27" s="3"/>
      <c r="G27" s="3"/>
      <c r="H27" s="3"/>
    </row>
    <row r="28" spans="1:15" x14ac:dyDescent="0.3">
      <c r="B28" s="342" t="s">
        <v>67</v>
      </c>
      <c r="C28" s="342" t="s">
        <v>68</v>
      </c>
      <c r="D28" s="342" t="s">
        <v>69</v>
      </c>
      <c r="E28" s="342" t="s">
        <v>70</v>
      </c>
      <c r="F28" s="342" t="s">
        <v>71</v>
      </c>
      <c r="G28" s="342" t="s">
        <v>72</v>
      </c>
      <c r="H28" s="342" t="s">
        <v>73</v>
      </c>
      <c r="I28" s="351" t="s">
        <v>74</v>
      </c>
      <c r="J28" s="351" t="s">
        <v>75</v>
      </c>
      <c r="K28" s="351" t="s">
        <v>76</v>
      </c>
      <c r="L28" s="351" t="s">
        <v>77</v>
      </c>
      <c r="M28" s="351" t="s">
        <v>78</v>
      </c>
    </row>
    <row r="29" spans="1:15" x14ac:dyDescent="0.3">
      <c r="A29" s="4" t="s">
        <v>936</v>
      </c>
      <c r="B29" s="342" t="s">
        <v>80</v>
      </c>
      <c r="C29" s="342" t="s">
        <v>81</v>
      </c>
      <c r="D29" s="342" t="s">
        <v>82</v>
      </c>
      <c r="E29" s="342" t="s">
        <v>83</v>
      </c>
      <c r="F29" s="342" t="s">
        <v>84</v>
      </c>
      <c r="G29" s="342" t="s">
        <v>85</v>
      </c>
      <c r="H29" s="342" t="s">
        <v>86</v>
      </c>
      <c r="I29" s="342" t="s">
        <v>87</v>
      </c>
      <c r="J29" s="342" t="s">
        <v>88</v>
      </c>
      <c r="K29" s="342" t="s">
        <v>89</v>
      </c>
      <c r="L29" s="342" t="s">
        <v>90</v>
      </c>
      <c r="M29" s="342" t="s">
        <v>91</v>
      </c>
      <c r="N29" s="342" t="s">
        <v>19</v>
      </c>
      <c r="O29" s="342" t="s">
        <v>987</v>
      </c>
    </row>
    <row r="30" spans="1:15" x14ac:dyDescent="0.3">
      <c r="A30" s="4" t="s">
        <v>913</v>
      </c>
      <c r="B30" s="142" cm="1">
        <f t="array" ref="B30">SUMPRODUCT(
  B$11:B$24,
  _xlfn.XLOOKUP(
    $A$11:$A$24,
    INDEX(GrainTypeMetricsTable[], ,1),
    INDEX(GrainTypeMetricsTable[], , MATCH($A30, GrainTypeMetricsTable[#Headers], 0))
  )
)</f>
        <v>0</v>
      </c>
      <c r="C30" s="142" cm="1">
        <f t="array" ref="C30">SUMPRODUCT(
  C$11:C$24,
  _xlfn.XLOOKUP(
    $A$11:$A$24,
    INDEX(GrainTypeMetricsTable[], ,1),
    INDEX(GrainTypeMetricsTable[], , MATCH($A30, GrainTypeMetricsTable[#Headers], 0))
  )
)</f>
        <v>0</v>
      </c>
      <c r="D30" s="142" cm="1">
        <f t="array" ref="D30">SUMPRODUCT(
  D$11:D$24,
  _xlfn.XLOOKUP(
    $A$11:$A$24,
    INDEX(GrainTypeMetricsTable[], ,1),
    INDEX(GrainTypeMetricsTable[], , MATCH($A30, GrainTypeMetricsTable[#Headers], 0))
  )
)</f>
        <v>0</v>
      </c>
      <c r="E30" s="142" cm="1">
        <f t="array" ref="E30">SUMPRODUCT(
  E$11:E$24,
  _xlfn.XLOOKUP(
    $A$11:$A$24,
    INDEX(GrainTypeMetricsTable[], ,1),
    INDEX(GrainTypeMetricsTable[], , MATCH($A30, GrainTypeMetricsTable[#Headers], 0))
  )
)</f>
        <v>0</v>
      </c>
      <c r="F30" s="142" cm="1">
        <f t="array" ref="F30">SUMPRODUCT(
  F$11:F$24,
  _xlfn.XLOOKUP(
    $A$11:$A$24,
    INDEX(GrainTypeMetricsTable[], ,1),
    INDEX(GrainTypeMetricsTable[], , MATCH($A30, GrainTypeMetricsTable[#Headers], 0))
  )
)</f>
        <v>0</v>
      </c>
      <c r="G30" s="142" cm="1">
        <f t="array" ref="G30">SUMPRODUCT(
  G$11:G$24,
  _xlfn.XLOOKUP(
    $A$11:$A$24,
    INDEX(GrainTypeMetricsTable[], ,1),
    INDEX(GrainTypeMetricsTable[], , MATCH($A30, GrainTypeMetricsTable[#Headers], 0))
  )
)</f>
        <v>0</v>
      </c>
      <c r="H30" s="142" cm="1">
        <f t="array" ref="H30">SUMPRODUCT(
  H$11:H$24,
  _xlfn.XLOOKUP(
    $A$11:$A$24,
    INDEX(GrainTypeMetricsTable[], ,1),
    INDEX(GrainTypeMetricsTable[], , MATCH($A30, GrainTypeMetricsTable[#Headers], 0))
  )
)</f>
        <v>0</v>
      </c>
      <c r="I30" s="142" cm="1">
        <f t="array" ref="I30">SUMPRODUCT(
  I$11:I$24,
  _xlfn.XLOOKUP(
    $A$11:$A$24,
    INDEX(GrainTypeMetricsTable[], ,1),
    INDEX(GrainTypeMetricsTable[], , MATCH($A30, GrainTypeMetricsTable[#Headers], 0))
  )
)</f>
        <v>0</v>
      </c>
      <c r="J30" s="142" cm="1">
        <f t="array" ref="J30">SUMPRODUCT(
  J$11:J$24,
  _xlfn.XLOOKUP(
    $A$11:$A$24,
    INDEX(GrainTypeMetricsTable[], ,1),
    INDEX(GrainTypeMetricsTable[], , MATCH($A30, GrainTypeMetricsTable[#Headers], 0))
  )
)</f>
        <v>0</v>
      </c>
      <c r="K30" s="142" cm="1">
        <f t="array" ref="K30">SUMPRODUCT(
  K$11:K$24,
  _xlfn.XLOOKUP(
    $A$11:$A$24,
    INDEX(GrainTypeMetricsTable[], ,1),
    INDEX(GrainTypeMetricsTable[], , MATCH($A30, GrainTypeMetricsTable[#Headers], 0))
  )
)</f>
        <v>0</v>
      </c>
      <c r="L30" s="142" cm="1">
        <f t="array" ref="L30">SUMPRODUCT(
  L$11:L$24,
  _xlfn.XLOOKUP(
    $A$11:$A$24,
    INDEX(GrainTypeMetricsTable[], ,1),
    INDEX(GrainTypeMetricsTable[], , MATCH($A30, GrainTypeMetricsTable[#Headers], 0))
  )
)</f>
        <v>0</v>
      </c>
      <c r="M30" s="142" cm="1">
        <f t="array" ref="M30">SUMPRODUCT(
  M$11:M$24,
  _xlfn.XLOOKUP(
    $A$11:$A$24,
    INDEX(GrainTypeMetricsTable[], ,1),
    INDEX(GrainTypeMetricsTable[], , MATCH($A30, GrainTypeMetricsTable[#Headers], 0))
  )
)</f>
        <v>0</v>
      </c>
      <c r="N30" s="142">
        <f>SUM(B30:M30)</f>
        <v>0</v>
      </c>
      <c r="O30" s="142" t="e">
        <f>N30/SUM($N$30:$N$40)</f>
        <v>#DIV/0!</v>
      </c>
    </row>
    <row r="31" spans="1:15" x14ac:dyDescent="0.3">
      <c r="A31" s="4" t="s">
        <v>914</v>
      </c>
      <c r="B31" s="142" cm="1">
        <f t="array" ref="B31">SUMPRODUCT(
  B$11:B$24,
  _xlfn.XLOOKUP(
    $A$11:$A$24,
    INDEX(GrainTypeMetricsTable[], ,1),
    INDEX(GrainTypeMetricsTable[], , MATCH($A31, GrainTypeMetricsTable[#Headers], 0))
  )
)</f>
        <v>0</v>
      </c>
      <c r="C31" s="142" cm="1">
        <f t="array" ref="C31">SUMPRODUCT(
  C$11:C$24,
  _xlfn.XLOOKUP(
    $A$11:$A$24,
    INDEX(GrainTypeMetricsTable[], ,1),
    INDEX(GrainTypeMetricsTable[], , MATCH($A31, GrainTypeMetricsTable[#Headers], 0))
  )
)</f>
        <v>0</v>
      </c>
      <c r="D31" s="142" cm="1">
        <f t="array" ref="D31">SUMPRODUCT(
  D$11:D$24,
  _xlfn.XLOOKUP(
    $A$11:$A$24,
    INDEX(GrainTypeMetricsTable[], ,1),
    INDEX(GrainTypeMetricsTable[], , MATCH($A31, GrainTypeMetricsTable[#Headers], 0))
  )
)</f>
        <v>0</v>
      </c>
      <c r="E31" s="142" cm="1">
        <f t="array" ref="E31">SUMPRODUCT(
  E$11:E$24,
  _xlfn.XLOOKUP(
    $A$11:$A$24,
    INDEX(GrainTypeMetricsTable[], ,1),
    INDEX(GrainTypeMetricsTable[], , MATCH($A31, GrainTypeMetricsTable[#Headers], 0))
  )
)</f>
        <v>0</v>
      </c>
      <c r="F31" s="142" cm="1">
        <f t="array" ref="F31">SUMPRODUCT(
  F$11:F$24,
  _xlfn.XLOOKUP(
    $A$11:$A$24,
    INDEX(GrainTypeMetricsTable[], ,1),
    INDEX(GrainTypeMetricsTable[], , MATCH($A31, GrainTypeMetricsTable[#Headers], 0))
  )
)</f>
        <v>0</v>
      </c>
      <c r="G31" s="142" cm="1">
        <f t="array" ref="G31">SUMPRODUCT(
  G$11:G$24,
  _xlfn.XLOOKUP(
    $A$11:$A$24,
    INDEX(GrainTypeMetricsTable[], ,1),
    INDEX(GrainTypeMetricsTable[], , MATCH($A31, GrainTypeMetricsTable[#Headers], 0))
  )
)</f>
        <v>0</v>
      </c>
      <c r="H31" s="142" cm="1">
        <f t="array" ref="H31">SUMPRODUCT(
  H$11:H$24,
  _xlfn.XLOOKUP(
    $A$11:$A$24,
    INDEX(GrainTypeMetricsTable[], ,1),
    INDEX(GrainTypeMetricsTable[], , MATCH($A31, GrainTypeMetricsTable[#Headers], 0))
  )
)</f>
        <v>0</v>
      </c>
      <c r="I31" s="142" cm="1">
        <f t="array" ref="I31">SUMPRODUCT(
  I$11:I$24,
  _xlfn.XLOOKUP(
    $A$11:$A$24,
    INDEX(GrainTypeMetricsTable[], ,1),
    INDEX(GrainTypeMetricsTable[], , MATCH($A31, GrainTypeMetricsTable[#Headers], 0))
  )
)</f>
        <v>0</v>
      </c>
      <c r="J31" s="142" cm="1">
        <f t="array" ref="J31">SUMPRODUCT(
  J$11:J$24,
  _xlfn.XLOOKUP(
    $A$11:$A$24,
    INDEX(GrainTypeMetricsTable[], ,1),
    INDEX(GrainTypeMetricsTable[], , MATCH($A31, GrainTypeMetricsTable[#Headers], 0))
  )
)</f>
        <v>0</v>
      </c>
      <c r="K31" s="142" cm="1">
        <f t="array" ref="K31">SUMPRODUCT(
  K$11:K$24,
  _xlfn.XLOOKUP(
    $A$11:$A$24,
    INDEX(GrainTypeMetricsTable[], ,1),
    INDEX(GrainTypeMetricsTable[], , MATCH($A31, GrainTypeMetricsTable[#Headers], 0))
  )
)</f>
        <v>0</v>
      </c>
      <c r="L31" s="142" cm="1">
        <f t="array" ref="L31">SUMPRODUCT(
  L$11:L$24,
  _xlfn.XLOOKUP(
    $A$11:$A$24,
    INDEX(GrainTypeMetricsTable[], ,1),
    INDEX(GrainTypeMetricsTable[], , MATCH($A31, GrainTypeMetricsTable[#Headers], 0))
  )
)</f>
        <v>0</v>
      </c>
      <c r="M31" s="142" cm="1">
        <f t="array" ref="M31">SUMPRODUCT(
  M$11:M$24,
  _xlfn.XLOOKUP(
    $A$11:$A$24,
    INDEX(GrainTypeMetricsTable[], ,1),
    INDEX(GrainTypeMetricsTable[], , MATCH($A31, GrainTypeMetricsTable[#Headers], 0))
  )
)</f>
        <v>0</v>
      </c>
      <c r="N31" s="142">
        <f t="shared" ref="N31:N40" si="2">SUM(B31:M31)</f>
        <v>0</v>
      </c>
      <c r="O31" s="142" t="e">
        <f t="shared" ref="O31:O40" si="3">N31/SUM($N$30:$N$40)</f>
        <v>#DIV/0!</v>
      </c>
    </row>
    <row r="32" spans="1:15" x14ac:dyDescent="0.3">
      <c r="A32" s="24" t="s">
        <v>751</v>
      </c>
      <c r="B32" s="142" cm="1">
        <f t="array" ref="B32">SUMPRODUCT(
  B$11:B$24,
  _xlfn.XLOOKUP(
    $A$11:$A$24,
    INDEX(GrainTypeMetricsTable[], ,1),
    INDEX(GrainTypeMetricsTable[], , MATCH($A32, GrainTypeMetricsTable[#Headers], 0))
  )
)</f>
        <v>0</v>
      </c>
      <c r="C32" s="142" cm="1">
        <f t="array" ref="C32">SUMPRODUCT(
  C$11:C$24,
  _xlfn.XLOOKUP(
    $A$11:$A$24,
    INDEX(GrainTypeMetricsTable[], ,1),
    INDEX(GrainTypeMetricsTable[], , MATCH($A32, GrainTypeMetricsTable[#Headers], 0))
  )
)</f>
        <v>0</v>
      </c>
      <c r="D32" s="142" cm="1">
        <f t="array" ref="D32">SUMPRODUCT(
  D$11:D$24,
  _xlfn.XLOOKUP(
    $A$11:$A$24,
    INDEX(GrainTypeMetricsTable[], ,1),
    INDEX(GrainTypeMetricsTable[], , MATCH($A32, GrainTypeMetricsTable[#Headers], 0))
  )
)</f>
        <v>0</v>
      </c>
      <c r="E32" s="142" cm="1">
        <f t="array" ref="E32">SUMPRODUCT(
  E$11:E$24,
  _xlfn.XLOOKUP(
    $A$11:$A$24,
    INDEX(GrainTypeMetricsTable[], ,1),
    INDEX(GrainTypeMetricsTable[], , MATCH($A32, GrainTypeMetricsTable[#Headers], 0))
  )
)</f>
        <v>0</v>
      </c>
      <c r="F32" s="142" cm="1">
        <f t="array" ref="F32">SUMPRODUCT(
  F$11:F$24,
  _xlfn.XLOOKUP(
    $A$11:$A$24,
    INDEX(GrainTypeMetricsTable[], ,1),
    INDEX(GrainTypeMetricsTable[], , MATCH($A32, GrainTypeMetricsTable[#Headers], 0))
  )
)</f>
        <v>0</v>
      </c>
      <c r="G32" s="142" cm="1">
        <f t="array" ref="G32">SUMPRODUCT(
  G$11:G$24,
  _xlfn.XLOOKUP(
    $A$11:$A$24,
    INDEX(GrainTypeMetricsTable[], ,1),
    INDEX(GrainTypeMetricsTable[], , MATCH($A32, GrainTypeMetricsTable[#Headers], 0))
  )
)</f>
        <v>0</v>
      </c>
      <c r="H32" s="142" cm="1">
        <f t="array" ref="H32">SUMPRODUCT(
  H$11:H$24,
  _xlfn.XLOOKUP(
    $A$11:$A$24,
    INDEX(GrainTypeMetricsTable[], ,1),
    INDEX(GrainTypeMetricsTable[], , MATCH($A32, GrainTypeMetricsTable[#Headers], 0))
  )
)</f>
        <v>0</v>
      </c>
      <c r="I32" s="142" cm="1">
        <f t="array" ref="I32">SUMPRODUCT(
  I$11:I$24,
  _xlfn.XLOOKUP(
    $A$11:$A$24,
    INDEX(GrainTypeMetricsTable[], ,1),
    INDEX(GrainTypeMetricsTable[], , MATCH($A32, GrainTypeMetricsTable[#Headers], 0))
  )
)</f>
        <v>0</v>
      </c>
      <c r="J32" s="142" cm="1">
        <f t="array" ref="J32">SUMPRODUCT(
  J$11:J$24,
  _xlfn.XLOOKUP(
    $A$11:$A$24,
    INDEX(GrainTypeMetricsTable[], ,1),
    INDEX(GrainTypeMetricsTable[], , MATCH($A32, GrainTypeMetricsTable[#Headers], 0))
  )
)</f>
        <v>0</v>
      </c>
      <c r="K32" s="142" cm="1">
        <f t="array" ref="K32">SUMPRODUCT(
  K$11:K$24,
  _xlfn.XLOOKUP(
    $A$11:$A$24,
    INDEX(GrainTypeMetricsTable[], ,1),
    INDEX(GrainTypeMetricsTable[], , MATCH($A32, GrainTypeMetricsTable[#Headers], 0))
  )
)</f>
        <v>0</v>
      </c>
      <c r="L32" s="142" cm="1">
        <f t="array" ref="L32">SUMPRODUCT(
  L$11:L$24,
  _xlfn.XLOOKUP(
    $A$11:$A$24,
    INDEX(GrainTypeMetricsTable[], ,1),
    INDEX(GrainTypeMetricsTable[], , MATCH($A32, GrainTypeMetricsTable[#Headers], 0))
  )
)</f>
        <v>0</v>
      </c>
      <c r="M32" s="142" cm="1">
        <f t="array" ref="M32">SUMPRODUCT(
  M$11:M$24,
  _xlfn.XLOOKUP(
    $A$11:$A$24,
    INDEX(GrainTypeMetricsTable[], ,1),
    INDEX(GrainTypeMetricsTable[], , MATCH($A32, GrainTypeMetricsTable[#Headers], 0))
  )
)</f>
        <v>0</v>
      </c>
      <c r="N32" s="142">
        <f t="shared" si="2"/>
        <v>0</v>
      </c>
      <c r="O32" s="142" t="e">
        <f t="shared" si="3"/>
        <v>#DIV/0!</v>
      </c>
    </row>
    <row r="33" spans="1:15" x14ac:dyDescent="0.3">
      <c r="A33" s="4" t="s">
        <v>915</v>
      </c>
      <c r="B33" s="142" cm="1">
        <f t="array" ref="B33">SUMPRODUCT(
  B$11:B$24,
  _xlfn.XLOOKUP(
    $A$11:$A$24,
    INDEX(GrainTypeMetricsTable[], ,1),
    INDEX(GrainTypeMetricsTable[], , MATCH($A33, GrainTypeMetricsTable[#Headers], 0))
  )
)</f>
        <v>0</v>
      </c>
      <c r="C33" s="142" cm="1">
        <f t="array" ref="C33">SUMPRODUCT(
  C$11:C$24,
  _xlfn.XLOOKUP(
    $A$11:$A$24,
    INDEX(GrainTypeMetricsTable[], ,1),
    INDEX(GrainTypeMetricsTable[], , MATCH($A33, GrainTypeMetricsTable[#Headers], 0))
  )
)</f>
        <v>0</v>
      </c>
      <c r="D33" s="142" cm="1">
        <f t="array" ref="D33">SUMPRODUCT(
  D$11:D$24,
  _xlfn.XLOOKUP(
    $A$11:$A$24,
    INDEX(GrainTypeMetricsTable[], ,1),
    INDEX(GrainTypeMetricsTable[], , MATCH($A33, GrainTypeMetricsTable[#Headers], 0))
  )
)</f>
        <v>0</v>
      </c>
      <c r="E33" s="142" cm="1">
        <f t="array" ref="E33">SUMPRODUCT(
  E$11:E$24,
  _xlfn.XLOOKUP(
    $A$11:$A$24,
    INDEX(GrainTypeMetricsTable[], ,1),
    INDEX(GrainTypeMetricsTable[], , MATCH($A33, GrainTypeMetricsTable[#Headers], 0))
  )
)</f>
        <v>0</v>
      </c>
      <c r="F33" s="142" cm="1">
        <f t="array" ref="F33">SUMPRODUCT(
  F$11:F$24,
  _xlfn.XLOOKUP(
    $A$11:$A$24,
    INDEX(GrainTypeMetricsTable[], ,1),
    INDEX(GrainTypeMetricsTable[], , MATCH($A33, GrainTypeMetricsTable[#Headers], 0))
  )
)</f>
        <v>0</v>
      </c>
      <c r="G33" s="142" cm="1">
        <f t="array" ref="G33">SUMPRODUCT(
  G$11:G$24,
  _xlfn.XLOOKUP(
    $A$11:$A$24,
    INDEX(GrainTypeMetricsTable[], ,1),
    INDEX(GrainTypeMetricsTable[], , MATCH($A33, GrainTypeMetricsTable[#Headers], 0))
  )
)</f>
        <v>0</v>
      </c>
      <c r="H33" s="142" cm="1">
        <f t="array" ref="H33">SUMPRODUCT(
  H$11:H$24,
  _xlfn.XLOOKUP(
    $A$11:$A$24,
    INDEX(GrainTypeMetricsTable[], ,1),
    INDEX(GrainTypeMetricsTable[], , MATCH($A33, GrainTypeMetricsTable[#Headers], 0))
  )
)</f>
        <v>0</v>
      </c>
      <c r="I33" s="142" cm="1">
        <f t="array" ref="I33">SUMPRODUCT(
  I$11:I$24,
  _xlfn.XLOOKUP(
    $A$11:$A$24,
    INDEX(GrainTypeMetricsTable[], ,1),
    INDEX(GrainTypeMetricsTable[], , MATCH($A33, GrainTypeMetricsTable[#Headers], 0))
  )
)</f>
        <v>0</v>
      </c>
      <c r="J33" s="142" cm="1">
        <f t="array" ref="J33">SUMPRODUCT(
  J$11:J$24,
  _xlfn.XLOOKUP(
    $A$11:$A$24,
    INDEX(GrainTypeMetricsTable[], ,1),
    INDEX(GrainTypeMetricsTable[], , MATCH($A33, GrainTypeMetricsTable[#Headers], 0))
  )
)</f>
        <v>0</v>
      </c>
      <c r="K33" s="142" cm="1">
        <f t="array" ref="K33">SUMPRODUCT(
  K$11:K$24,
  _xlfn.XLOOKUP(
    $A$11:$A$24,
    INDEX(GrainTypeMetricsTable[], ,1),
    INDEX(GrainTypeMetricsTable[], , MATCH($A33, GrainTypeMetricsTable[#Headers], 0))
  )
)</f>
        <v>0</v>
      </c>
      <c r="L33" s="142" cm="1">
        <f t="array" ref="L33">SUMPRODUCT(
  L$11:L$24,
  _xlfn.XLOOKUP(
    $A$11:$A$24,
    INDEX(GrainTypeMetricsTable[], ,1),
    INDEX(GrainTypeMetricsTable[], , MATCH($A33, GrainTypeMetricsTable[#Headers], 0))
  )
)</f>
        <v>0</v>
      </c>
      <c r="M33" s="142" cm="1">
        <f t="array" ref="M33">SUMPRODUCT(
  M$11:M$24,
  _xlfn.XLOOKUP(
    $A$11:$A$24,
    INDEX(GrainTypeMetricsTable[], ,1),
    INDEX(GrainTypeMetricsTable[], , MATCH($A33, GrainTypeMetricsTable[#Headers], 0))
  )
)</f>
        <v>0</v>
      </c>
      <c r="N33" s="142">
        <f t="shared" si="2"/>
        <v>0</v>
      </c>
      <c r="O33" s="142" t="e">
        <f t="shared" si="3"/>
        <v>#DIV/0!</v>
      </c>
    </row>
    <row r="34" spans="1:15" x14ac:dyDescent="0.3">
      <c r="A34" s="4" t="s">
        <v>916</v>
      </c>
      <c r="B34" s="142" cm="1">
        <f t="array" ref="B34">SUMPRODUCT(
  B$11:B$24,
  _xlfn.XLOOKUP(
    $A$11:$A$24,
    INDEX(GrainTypeMetricsTable[], ,1),
    INDEX(GrainTypeMetricsTable[], , MATCH($A34, GrainTypeMetricsTable[#Headers], 0))
  )
)</f>
        <v>0</v>
      </c>
      <c r="C34" s="142" cm="1">
        <f t="array" ref="C34">SUMPRODUCT(
  C$11:C$24,
  _xlfn.XLOOKUP(
    $A$11:$A$24,
    INDEX(GrainTypeMetricsTable[], ,1),
    INDEX(GrainTypeMetricsTable[], , MATCH($A34, GrainTypeMetricsTable[#Headers], 0))
  )
)</f>
        <v>0</v>
      </c>
      <c r="D34" s="142" cm="1">
        <f t="array" ref="D34">SUMPRODUCT(
  D$11:D$24,
  _xlfn.XLOOKUP(
    $A$11:$A$24,
    INDEX(GrainTypeMetricsTable[], ,1),
    INDEX(GrainTypeMetricsTable[], , MATCH($A34, GrainTypeMetricsTable[#Headers], 0))
  )
)</f>
        <v>0</v>
      </c>
      <c r="E34" s="142" cm="1">
        <f t="array" ref="E34">SUMPRODUCT(
  E$11:E$24,
  _xlfn.XLOOKUP(
    $A$11:$A$24,
    INDEX(GrainTypeMetricsTable[], ,1),
    INDEX(GrainTypeMetricsTable[], , MATCH($A34, GrainTypeMetricsTable[#Headers], 0))
  )
)</f>
        <v>0</v>
      </c>
      <c r="F34" s="142" cm="1">
        <f t="array" ref="F34">SUMPRODUCT(
  F$11:F$24,
  _xlfn.XLOOKUP(
    $A$11:$A$24,
    INDEX(GrainTypeMetricsTable[], ,1),
    INDEX(GrainTypeMetricsTable[], , MATCH($A34, GrainTypeMetricsTable[#Headers], 0))
  )
)</f>
        <v>0</v>
      </c>
      <c r="G34" s="142" cm="1">
        <f t="array" ref="G34">SUMPRODUCT(
  G$11:G$24,
  _xlfn.XLOOKUP(
    $A$11:$A$24,
    INDEX(GrainTypeMetricsTable[], ,1),
    INDEX(GrainTypeMetricsTable[], , MATCH($A34, GrainTypeMetricsTable[#Headers], 0))
  )
)</f>
        <v>0</v>
      </c>
      <c r="H34" s="142" cm="1">
        <f t="array" ref="H34">SUMPRODUCT(
  H$11:H$24,
  _xlfn.XLOOKUP(
    $A$11:$A$24,
    INDEX(GrainTypeMetricsTable[], ,1),
    INDEX(GrainTypeMetricsTable[], , MATCH($A34, GrainTypeMetricsTable[#Headers], 0))
  )
)</f>
        <v>0</v>
      </c>
      <c r="I34" s="142" cm="1">
        <f t="array" ref="I34">SUMPRODUCT(
  I$11:I$24,
  _xlfn.XLOOKUP(
    $A$11:$A$24,
    INDEX(GrainTypeMetricsTable[], ,1),
    INDEX(GrainTypeMetricsTable[], , MATCH($A34, GrainTypeMetricsTable[#Headers], 0))
  )
)</f>
        <v>0</v>
      </c>
      <c r="J34" s="142" cm="1">
        <f t="array" ref="J34">SUMPRODUCT(
  J$11:J$24,
  _xlfn.XLOOKUP(
    $A$11:$A$24,
    INDEX(GrainTypeMetricsTable[], ,1),
    INDEX(GrainTypeMetricsTable[], , MATCH($A34, GrainTypeMetricsTable[#Headers], 0))
  )
)</f>
        <v>0</v>
      </c>
      <c r="K34" s="142" cm="1">
        <f t="array" ref="K34">SUMPRODUCT(
  K$11:K$24,
  _xlfn.XLOOKUP(
    $A$11:$A$24,
    INDEX(GrainTypeMetricsTable[], ,1),
    INDEX(GrainTypeMetricsTable[], , MATCH($A34, GrainTypeMetricsTable[#Headers], 0))
  )
)</f>
        <v>0</v>
      </c>
      <c r="L34" s="142" cm="1">
        <f t="array" ref="L34">SUMPRODUCT(
  L$11:L$24,
  _xlfn.XLOOKUP(
    $A$11:$A$24,
    INDEX(GrainTypeMetricsTable[], ,1),
    INDEX(GrainTypeMetricsTable[], , MATCH($A34, GrainTypeMetricsTable[#Headers], 0))
  )
)</f>
        <v>0</v>
      </c>
      <c r="M34" s="142" cm="1">
        <f t="array" ref="M34">SUMPRODUCT(
  M$11:M$24,
  _xlfn.XLOOKUP(
    $A$11:$A$24,
    INDEX(GrainTypeMetricsTable[], ,1),
    INDEX(GrainTypeMetricsTable[], , MATCH($A34, GrainTypeMetricsTable[#Headers], 0))
  )
)</f>
        <v>0</v>
      </c>
      <c r="N34" s="142">
        <f t="shared" si="2"/>
        <v>0</v>
      </c>
      <c r="O34" s="142" t="e">
        <f t="shared" si="3"/>
        <v>#DIV/0!</v>
      </c>
    </row>
    <row r="35" spans="1:15" x14ac:dyDescent="0.3">
      <c r="A35" s="4" t="s">
        <v>988</v>
      </c>
      <c r="B35" s="142" cm="1">
        <f t="array" ref="B35">SUMPRODUCT(
  B$11:B$24,
  _xlfn.XLOOKUP(
    $A$11:$A$24,
    INDEX(GrainTypeMetricsTable[], ,1),
    INDEX(GrainTypeMetricsTable[], , MATCH($A35, GrainTypeMetricsTable[#Headers], 0))
  )
)</f>
        <v>0</v>
      </c>
      <c r="C35" s="142" cm="1">
        <f t="array" ref="C35">SUMPRODUCT(
  C$11:C$24,
  _xlfn.XLOOKUP(
    $A$11:$A$24,
    INDEX(GrainTypeMetricsTable[], ,1),
    INDEX(GrainTypeMetricsTable[], , MATCH($A35, GrainTypeMetricsTable[#Headers], 0))
  )
)</f>
        <v>0</v>
      </c>
      <c r="D35" s="142" cm="1">
        <f t="array" ref="D35">SUMPRODUCT(
  D$11:D$24,
  _xlfn.XLOOKUP(
    $A$11:$A$24,
    INDEX(GrainTypeMetricsTable[], ,1),
    INDEX(GrainTypeMetricsTable[], , MATCH($A35, GrainTypeMetricsTable[#Headers], 0))
  )
)</f>
        <v>0</v>
      </c>
      <c r="E35" s="142" cm="1">
        <f t="array" ref="E35">SUMPRODUCT(
  E$11:E$24,
  _xlfn.XLOOKUP(
    $A$11:$A$24,
    INDEX(GrainTypeMetricsTable[], ,1),
    INDEX(GrainTypeMetricsTable[], , MATCH($A35, GrainTypeMetricsTable[#Headers], 0))
  )
)</f>
        <v>0</v>
      </c>
      <c r="F35" s="142" cm="1">
        <f t="array" ref="F35">SUMPRODUCT(
  F$11:F$24,
  _xlfn.XLOOKUP(
    $A$11:$A$24,
    INDEX(GrainTypeMetricsTable[], ,1),
    INDEX(GrainTypeMetricsTable[], , MATCH($A35, GrainTypeMetricsTable[#Headers], 0))
  )
)</f>
        <v>0</v>
      </c>
      <c r="G35" s="142" cm="1">
        <f t="array" ref="G35">SUMPRODUCT(
  G$11:G$24,
  _xlfn.XLOOKUP(
    $A$11:$A$24,
    INDEX(GrainTypeMetricsTable[], ,1),
    INDEX(GrainTypeMetricsTable[], , MATCH($A35, GrainTypeMetricsTable[#Headers], 0))
  )
)</f>
        <v>0</v>
      </c>
      <c r="H35" s="142" cm="1">
        <f t="array" ref="H35">SUMPRODUCT(
  H$11:H$24,
  _xlfn.XLOOKUP(
    $A$11:$A$24,
    INDEX(GrainTypeMetricsTable[], ,1),
    INDEX(GrainTypeMetricsTable[], , MATCH($A35, GrainTypeMetricsTable[#Headers], 0))
  )
)</f>
        <v>0</v>
      </c>
      <c r="I35" s="142" cm="1">
        <f t="array" ref="I35">SUMPRODUCT(
  I$11:I$24,
  _xlfn.XLOOKUP(
    $A$11:$A$24,
    INDEX(GrainTypeMetricsTable[], ,1),
    INDEX(GrainTypeMetricsTable[], , MATCH($A35, GrainTypeMetricsTable[#Headers], 0))
  )
)</f>
        <v>0</v>
      </c>
      <c r="J35" s="142" cm="1">
        <f t="array" ref="J35">SUMPRODUCT(
  J$11:J$24,
  _xlfn.XLOOKUP(
    $A$11:$A$24,
    INDEX(GrainTypeMetricsTable[], ,1),
    INDEX(GrainTypeMetricsTable[], , MATCH($A35, GrainTypeMetricsTable[#Headers], 0))
  )
)</f>
        <v>0</v>
      </c>
      <c r="K35" s="142" cm="1">
        <f t="array" ref="K35">SUMPRODUCT(
  K$11:K$24,
  _xlfn.XLOOKUP(
    $A$11:$A$24,
    INDEX(GrainTypeMetricsTable[], ,1),
    INDEX(GrainTypeMetricsTable[], , MATCH($A35, GrainTypeMetricsTable[#Headers], 0))
  )
)</f>
        <v>0</v>
      </c>
      <c r="L35" s="142" cm="1">
        <f t="array" ref="L35">SUMPRODUCT(
  L$11:L$24,
  _xlfn.XLOOKUP(
    $A$11:$A$24,
    INDEX(GrainTypeMetricsTable[], ,1),
    INDEX(GrainTypeMetricsTable[], , MATCH($A35, GrainTypeMetricsTable[#Headers], 0))
  )
)</f>
        <v>0</v>
      </c>
      <c r="M35" s="142" cm="1">
        <f t="array" ref="M35">SUMPRODUCT(
  M$11:M$24,
  _xlfn.XLOOKUP(
    $A$11:$A$24,
    INDEX(GrainTypeMetricsTable[], ,1),
    INDEX(GrainTypeMetricsTable[], , MATCH($A35, GrainTypeMetricsTable[#Headers], 0))
  )
)</f>
        <v>0</v>
      </c>
      <c r="N35" s="142">
        <f t="shared" si="2"/>
        <v>0</v>
      </c>
      <c r="O35" s="142" t="e">
        <f t="shared" si="3"/>
        <v>#DIV/0!</v>
      </c>
    </row>
    <row r="36" spans="1:15" x14ac:dyDescent="0.3">
      <c r="A36" s="4" t="s">
        <v>917</v>
      </c>
      <c r="B36" s="142" cm="1">
        <f t="array" ref="B36">SUMPRODUCT(
  B$11:B$24,
  _xlfn.XLOOKUP(
    $A$11:$A$24,
    INDEX(GrainTypeMetricsTable[], ,1),
    INDEX(GrainTypeMetricsTable[], , MATCH($A36, GrainTypeMetricsTable[#Headers], 0))
  )
)</f>
        <v>0</v>
      </c>
      <c r="C36" s="142" cm="1">
        <f t="array" ref="C36">SUMPRODUCT(
  C$11:C$24,
  _xlfn.XLOOKUP(
    $A$11:$A$24,
    INDEX(GrainTypeMetricsTable[], ,1),
    INDEX(GrainTypeMetricsTable[], , MATCH($A36, GrainTypeMetricsTable[#Headers], 0))
  )
)</f>
        <v>0</v>
      </c>
      <c r="D36" s="142" cm="1">
        <f t="array" ref="D36">SUMPRODUCT(
  D$11:D$24,
  _xlfn.XLOOKUP(
    $A$11:$A$24,
    INDEX(GrainTypeMetricsTable[], ,1),
    INDEX(GrainTypeMetricsTable[], , MATCH($A36, GrainTypeMetricsTable[#Headers], 0))
  )
)</f>
        <v>0</v>
      </c>
      <c r="E36" s="142" cm="1">
        <f t="array" ref="E36">SUMPRODUCT(
  E$11:E$24,
  _xlfn.XLOOKUP(
    $A$11:$A$24,
    INDEX(GrainTypeMetricsTable[], ,1),
    INDEX(GrainTypeMetricsTable[], , MATCH($A36, GrainTypeMetricsTable[#Headers], 0))
  )
)</f>
        <v>0</v>
      </c>
      <c r="F36" s="142" cm="1">
        <f t="array" ref="F36">SUMPRODUCT(
  F$11:F$24,
  _xlfn.XLOOKUP(
    $A$11:$A$24,
    INDEX(GrainTypeMetricsTable[], ,1),
    INDEX(GrainTypeMetricsTable[], , MATCH($A36, GrainTypeMetricsTable[#Headers], 0))
  )
)</f>
        <v>0</v>
      </c>
      <c r="G36" s="142" cm="1">
        <f t="array" ref="G36">SUMPRODUCT(
  G$11:G$24,
  _xlfn.XLOOKUP(
    $A$11:$A$24,
    INDEX(GrainTypeMetricsTable[], ,1),
    INDEX(GrainTypeMetricsTable[], , MATCH($A36, GrainTypeMetricsTable[#Headers], 0))
  )
)</f>
        <v>0</v>
      </c>
      <c r="H36" s="142" cm="1">
        <f t="array" ref="H36">SUMPRODUCT(
  H$11:H$24,
  _xlfn.XLOOKUP(
    $A$11:$A$24,
    INDEX(GrainTypeMetricsTable[], ,1),
    INDEX(GrainTypeMetricsTable[], , MATCH($A36, GrainTypeMetricsTable[#Headers], 0))
  )
)</f>
        <v>0</v>
      </c>
      <c r="I36" s="142" cm="1">
        <f t="array" ref="I36">SUMPRODUCT(
  I$11:I$24,
  _xlfn.XLOOKUP(
    $A$11:$A$24,
    INDEX(GrainTypeMetricsTable[], ,1),
    INDEX(GrainTypeMetricsTable[], , MATCH($A36, GrainTypeMetricsTable[#Headers], 0))
  )
)</f>
        <v>0</v>
      </c>
      <c r="J36" s="142" cm="1">
        <f t="array" ref="J36">SUMPRODUCT(
  J$11:J$24,
  _xlfn.XLOOKUP(
    $A$11:$A$24,
    INDEX(GrainTypeMetricsTable[], ,1),
    INDEX(GrainTypeMetricsTable[], , MATCH($A36, GrainTypeMetricsTable[#Headers], 0))
  )
)</f>
        <v>0</v>
      </c>
      <c r="K36" s="142" cm="1">
        <f t="array" ref="K36">SUMPRODUCT(
  K$11:K$24,
  _xlfn.XLOOKUP(
    $A$11:$A$24,
    INDEX(GrainTypeMetricsTable[], ,1),
    INDEX(GrainTypeMetricsTable[], , MATCH($A36, GrainTypeMetricsTable[#Headers], 0))
  )
)</f>
        <v>0</v>
      </c>
      <c r="L36" s="142" cm="1">
        <f t="array" ref="L36">SUMPRODUCT(
  L$11:L$24,
  _xlfn.XLOOKUP(
    $A$11:$A$24,
    INDEX(GrainTypeMetricsTable[], ,1),
    INDEX(GrainTypeMetricsTable[], , MATCH($A36, GrainTypeMetricsTable[#Headers], 0))
  )
)</f>
        <v>0</v>
      </c>
      <c r="M36" s="142" cm="1">
        <f t="array" ref="M36">SUMPRODUCT(
  M$11:M$24,
  _xlfn.XLOOKUP(
    $A$11:$A$24,
    INDEX(GrainTypeMetricsTable[], ,1),
    INDEX(GrainTypeMetricsTable[], , MATCH($A36, GrainTypeMetricsTable[#Headers], 0))
  )
)</f>
        <v>0</v>
      </c>
      <c r="N36" s="142">
        <f t="shared" si="2"/>
        <v>0</v>
      </c>
      <c r="O36" s="142" t="e">
        <f t="shared" si="3"/>
        <v>#DIV/0!</v>
      </c>
    </row>
    <row r="37" spans="1:15" x14ac:dyDescent="0.3">
      <c r="A37" s="4" t="s">
        <v>918</v>
      </c>
      <c r="B37" s="142" cm="1">
        <f t="array" ref="B37">SUMPRODUCT(
  B$11:B$24,
  _xlfn.XLOOKUP(
    $A$11:$A$24,
    INDEX(GrainTypeMetricsTable[], ,1),
    INDEX(GrainTypeMetricsTable[], , MATCH($A37, GrainTypeMetricsTable[#Headers], 0))
  )
)</f>
        <v>0</v>
      </c>
      <c r="C37" s="142" cm="1">
        <f t="array" ref="C37">SUMPRODUCT(
  C$11:C$24,
  _xlfn.XLOOKUP(
    $A$11:$A$24,
    INDEX(GrainTypeMetricsTable[], ,1),
    INDEX(GrainTypeMetricsTable[], , MATCH($A37, GrainTypeMetricsTable[#Headers], 0))
  )
)</f>
        <v>0</v>
      </c>
      <c r="D37" s="142" cm="1">
        <f t="array" ref="D37">SUMPRODUCT(
  D$11:D$24,
  _xlfn.XLOOKUP(
    $A$11:$A$24,
    INDEX(GrainTypeMetricsTable[], ,1),
    INDEX(GrainTypeMetricsTable[], , MATCH($A37, GrainTypeMetricsTable[#Headers], 0))
  )
)</f>
        <v>0</v>
      </c>
      <c r="E37" s="142" cm="1">
        <f t="array" ref="E37">SUMPRODUCT(
  E$11:E$24,
  _xlfn.XLOOKUP(
    $A$11:$A$24,
    INDEX(GrainTypeMetricsTable[], ,1),
    INDEX(GrainTypeMetricsTable[], , MATCH($A37, GrainTypeMetricsTable[#Headers], 0))
  )
)</f>
        <v>0</v>
      </c>
      <c r="F37" s="142" cm="1">
        <f t="array" ref="F37">SUMPRODUCT(
  F$11:F$24,
  _xlfn.XLOOKUP(
    $A$11:$A$24,
    INDEX(GrainTypeMetricsTable[], ,1),
    INDEX(GrainTypeMetricsTable[], , MATCH($A37, GrainTypeMetricsTable[#Headers], 0))
  )
)</f>
        <v>0</v>
      </c>
      <c r="G37" s="142" cm="1">
        <f t="array" ref="G37">SUMPRODUCT(
  G$11:G$24,
  _xlfn.XLOOKUP(
    $A$11:$A$24,
    INDEX(GrainTypeMetricsTable[], ,1),
    INDEX(GrainTypeMetricsTable[], , MATCH($A37, GrainTypeMetricsTable[#Headers], 0))
  )
)</f>
        <v>0</v>
      </c>
      <c r="H37" s="142" cm="1">
        <f t="array" ref="H37">SUMPRODUCT(
  H$11:H$24,
  _xlfn.XLOOKUP(
    $A$11:$A$24,
    INDEX(GrainTypeMetricsTable[], ,1),
    INDEX(GrainTypeMetricsTable[], , MATCH($A37, GrainTypeMetricsTable[#Headers], 0))
  )
)</f>
        <v>0</v>
      </c>
      <c r="I37" s="142" cm="1">
        <f t="array" ref="I37">SUMPRODUCT(
  I$11:I$24,
  _xlfn.XLOOKUP(
    $A$11:$A$24,
    INDEX(GrainTypeMetricsTable[], ,1),
    INDEX(GrainTypeMetricsTable[], , MATCH($A37, GrainTypeMetricsTable[#Headers], 0))
  )
)</f>
        <v>0</v>
      </c>
      <c r="J37" s="142" cm="1">
        <f t="array" ref="J37">SUMPRODUCT(
  J$11:J$24,
  _xlfn.XLOOKUP(
    $A$11:$A$24,
    INDEX(GrainTypeMetricsTable[], ,1),
    INDEX(GrainTypeMetricsTable[], , MATCH($A37, GrainTypeMetricsTable[#Headers], 0))
  )
)</f>
        <v>0</v>
      </c>
      <c r="K37" s="142" cm="1">
        <f t="array" ref="K37">SUMPRODUCT(
  K$11:K$24,
  _xlfn.XLOOKUP(
    $A$11:$A$24,
    INDEX(GrainTypeMetricsTable[], ,1),
    INDEX(GrainTypeMetricsTable[], , MATCH($A37, GrainTypeMetricsTable[#Headers], 0))
  )
)</f>
        <v>0</v>
      </c>
      <c r="L37" s="142" cm="1">
        <f t="array" ref="L37">SUMPRODUCT(
  L$11:L$24,
  _xlfn.XLOOKUP(
    $A$11:$A$24,
    INDEX(GrainTypeMetricsTable[], ,1),
    INDEX(GrainTypeMetricsTable[], , MATCH($A37, GrainTypeMetricsTable[#Headers], 0))
  )
)</f>
        <v>0</v>
      </c>
      <c r="M37" s="142" cm="1">
        <f t="array" ref="M37">SUMPRODUCT(
  M$11:M$24,
  _xlfn.XLOOKUP(
    $A$11:$A$24,
    INDEX(GrainTypeMetricsTable[], ,1),
    INDEX(GrainTypeMetricsTable[], , MATCH($A37, GrainTypeMetricsTable[#Headers], 0))
  )
)</f>
        <v>0</v>
      </c>
      <c r="N37" s="142">
        <f t="shared" si="2"/>
        <v>0</v>
      </c>
      <c r="O37" s="142" t="e">
        <f t="shared" si="3"/>
        <v>#DIV/0!</v>
      </c>
    </row>
    <row r="38" spans="1:15" x14ac:dyDescent="0.3">
      <c r="A38" s="4" t="s">
        <v>919</v>
      </c>
      <c r="B38" s="142" cm="1">
        <f t="array" ref="B38">SUMPRODUCT(
  B$11:B$24,
  _xlfn.XLOOKUP(
    $A$11:$A$24,
    INDEX(GrainTypeMetricsTable[], ,1),
    INDEX(GrainTypeMetricsTable[], , MATCH($A38, GrainTypeMetricsTable[#Headers], 0))
  )
)</f>
        <v>0</v>
      </c>
      <c r="C38" s="142" cm="1">
        <f t="array" ref="C38">SUMPRODUCT(
  C$11:C$24,
  _xlfn.XLOOKUP(
    $A$11:$A$24,
    INDEX(GrainTypeMetricsTable[], ,1),
    INDEX(GrainTypeMetricsTable[], , MATCH($A38, GrainTypeMetricsTable[#Headers], 0))
  )
)</f>
        <v>0</v>
      </c>
      <c r="D38" s="142" cm="1">
        <f t="array" ref="D38">SUMPRODUCT(
  D$11:D$24,
  _xlfn.XLOOKUP(
    $A$11:$A$24,
    INDEX(GrainTypeMetricsTable[], ,1),
    INDEX(GrainTypeMetricsTable[], , MATCH($A38, GrainTypeMetricsTable[#Headers], 0))
  )
)</f>
        <v>0</v>
      </c>
      <c r="E38" s="142" cm="1">
        <f t="array" ref="E38">SUMPRODUCT(
  E$11:E$24,
  _xlfn.XLOOKUP(
    $A$11:$A$24,
    INDEX(GrainTypeMetricsTable[], ,1),
    INDEX(GrainTypeMetricsTable[], , MATCH($A38, GrainTypeMetricsTable[#Headers], 0))
  )
)</f>
        <v>0</v>
      </c>
      <c r="F38" s="142" cm="1">
        <f t="array" ref="F38">SUMPRODUCT(
  F$11:F$24,
  _xlfn.XLOOKUP(
    $A$11:$A$24,
    INDEX(GrainTypeMetricsTable[], ,1),
    INDEX(GrainTypeMetricsTable[], , MATCH($A38, GrainTypeMetricsTable[#Headers], 0))
  )
)</f>
        <v>0</v>
      </c>
      <c r="G38" s="142" cm="1">
        <f t="array" ref="G38">SUMPRODUCT(
  G$11:G$24,
  _xlfn.XLOOKUP(
    $A$11:$A$24,
    INDEX(GrainTypeMetricsTable[], ,1),
    INDEX(GrainTypeMetricsTable[], , MATCH($A38, GrainTypeMetricsTable[#Headers], 0))
  )
)</f>
        <v>0</v>
      </c>
      <c r="H38" s="142" cm="1">
        <f t="array" ref="H38">SUMPRODUCT(
  H$11:H$24,
  _xlfn.XLOOKUP(
    $A$11:$A$24,
    INDEX(GrainTypeMetricsTable[], ,1),
    INDEX(GrainTypeMetricsTable[], , MATCH($A38, GrainTypeMetricsTable[#Headers], 0))
  )
)</f>
        <v>0</v>
      </c>
      <c r="I38" s="142" cm="1">
        <f t="array" ref="I38">SUMPRODUCT(
  I$11:I$24,
  _xlfn.XLOOKUP(
    $A$11:$A$24,
    INDEX(GrainTypeMetricsTable[], ,1),
    INDEX(GrainTypeMetricsTable[], , MATCH($A38, GrainTypeMetricsTable[#Headers], 0))
  )
)</f>
        <v>0</v>
      </c>
      <c r="J38" s="142" cm="1">
        <f t="array" ref="J38">SUMPRODUCT(
  J$11:J$24,
  _xlfn.XLOOKUP(
    $A$11:$A$24,
    INDEX(GrainTypeMetricsTable[], ,1),
    INDEX(GrainTypeMetricsTable[], , MATCH($A38, GrainTypeMetricsTable[#Headers], 0))
  )
)</f>
        <v>0</v>
      </c>
      <c r="K38" s="142" cm="1">
        <f t="array" ref="K38">SUMPRODUCT(
  K$11:K$24,
  _xlfn.XLOOKUP(
    $A$11:$A$24,
    INDEX(GrainTypeMetricsTable[], ,1),
    INDEX(GrainTypeMetricsTable[], , MATCH($A38, GrainTypeMetricsTable[#Headers], 0))
  )
)</f>
        <v>0</v>
      </c>
      <c r="L38" s="142" cm="1">
        <f t="array" ref="L38">SUMPRODUCT(
  L$11:L$24,
  _xlfn.XLOOKUP(
    $A$11:$A$24,
    INDEX(GrainTypeMetricsTable[], ,1),
    INDEX(GrainTypeMetricsTable[], , MATCH($A38, GrainTypeMetricsTable[#Headers], 0))
  )
)</f>
        <v>0</v>
      </c>
      <c r="M38" s="142" cm="1">
        <f t="array" ref="M38">SUMPRODUCT(
  M$11:M$24,
  _xlfn.XLOOKUP(
    $A$11:$A$24,
    INDEX(GrainTypeMetricsTable[], ,1),
    INDEX(GrainTypeMetricsTable[], , MATCH($A38, GrainTypeMetricsTable[#Headers], 0))
  )
)</f>
        <v>0</v>
      </c>
      <c r="N38" s="142">
        <f t="shared" si="2"/>
        <v>0</v>
      </c>
      <c r="O38" s="142" t="e">
        <f t="shared" si="3"/>
        <v>#DIV/0!</v>
      </c>
    </row>
    <row r="39" spans="1:15" x14ac:dyDescent="0.3">
      <c r="A39" s="4" t="s">
        <v>920</v>
      </c>
      <c r="B39" s="142" cm="1">
        <f t="array" ref="B39">SUMPRODUCT(
  B$11:B$24,
  _xlfn.XLOOKUP(
    $A$11:$A$24,
    INDEX(GrainTypeMetricsTable[], ,1),
    INDEX(GrainTypeMetricsTable[], , MATCH($A39, GrainTypeMetricsTable[#Headers], 0))
  )
)</f>
        <v>0</v>
      </c>
      <c r="C39" s="142" cm="1">
        <f t="array" ref="C39">SUMPRODUCT(
  C$11:C$24,
  _xlfn.XLOOKUP(
    $A$11:$A$24,
    INDEX(GrainTypeMetricsTable[], ,1),
    INDEX(GrainTypeMetricsTable[], , MATCH($A39, GrainTypeMetricsTable[#Headers], 0))
  )
)</f>
        <v>0</v>
      </c>
      <c r="D39" s="142" cm="1">
        <f t="array" ref="D39">SUMPRODUCT(
  D$11:D$24,
  _xlfn.XLOOKUP(
    $A$11:$A$24,
    INDEX(GrainTypeMetricsTable[], ,1),
    INDEX(GrainTypeMetricsTable[], , MATCH($A39, GrainTypeMetricsTable[#Headers], 0))
  )
)</f>
        <v>0</v>
      </c>
      <c r="E39" s="142" cm="1">
        <f t="array" ref="E39">SUMPRODUCT(
  E$11:E$24,
  _xlfn.XLOOKUP(
    $A$11:$A$24,
    INDEX(GrainTypeMetricsTable[], ,1),
    INDEX(GrainTypeMetricsTable[], , MATCH($A39, GrainTypeMetricsTable[#Headers], 0))
  )
)</f>
        <v>0</v>
      </c>
      <c r="F39" s="142" cm="1">
        <f t="array" ref="F39">SUMPRODUCT(
  F$11:F$24,
  _xlfn.XLOOKUP(
    $A$11:$A$24,
    INDEX(GrainTypeMetricsTable[], ,1),
    INDEX(GrainTypeMetricsTable[], , MATCH($A39, GrainTypeMetricsTable[#Headers], 0))
  )
)</f>
        <v>0</v>
      </c>
      <c r="G39" s="142" cm="1">
        <f t="array" ref="G39">SUMPRODUCT(
  G$11:G$24,
  _xlfn.XLOOKUP(
    $A$11:$A$24,
    INDEX(GrainTypeMetricsTable[], ,1),
    INDEX(GrainTypeMetricsTable[], , MATCH($A39, GrainTypeMetricsTable[#Headers], 0))
  )
)</f>
        <v>0</v>
      </c>
      <c r="H39" s="142" cm="1">
        <f t="array" ref="H39">SUMPRODUCT(
  H$11:H$24,
  _xlfn.XLOOKUP(
    $A$11:$A$24,
    INDEX(GrainTypeMetricsTable[], ,1),
    INDEX(GrainTypeMetricsTable[], , MATCH($A39, GrainTypeMetricsTable[#Headers], 0))
  )
)</f>
        <v>0</v>
      </c>
      <c r="I39" s="142" cm="1">
        <f t="array" ref="I39">SUMPRODUCT(
  I$11:I$24,
  _xlfn.XLOOKUP(
    $A$11:$A$24,
    INDEX(GrainTypeMetricsTable[], ,1),
    INDEX(GrainTypeMetricsTable[], , MATCH($A39, GrainTypeMetricsTable[#Headers], 0))
  )
)</f>
        <v>0</v>
      </c>
      <c r="J39" s="142" cm="1">
        <f t="array" ref="J39">SUMPRODUCT(
  J$11:J$24,
  _xlfn.XLOOKUP(
    $A$11:$A$24,
    INDEX(GrainTypeMetricsTable[], ,1),
    INDEX(GrainTypeMetricsTable[], , MATCH($A39, GrainTypeMetricsTable[#Headers], 0))
  )
)</f>
        <v>0</v>
      </c>
      <c r="K39" s="142" cm="1">
        <f t="array" ref="K39">SUMPRODUCT(
  K$11:K$24,
  _xlfn.XLOOKUP(
    $A$11:$A$24,
    INDEX(GrainTypeMetricsTable[], ,1),
    INDEX(GrainTypeMetricsTable[], , MATCH($A39, GrainTypeMetricsTable[#Headers], 0))
  )
)</f>
        <v>0</v>
      </c>
      <c r="L39" s="142" cm="1">
        <f t="array" ref="L39">SUMPRODUCT(
  L$11:L$24,
  _xlfn.XLOOKUP(
    $A$11:$A$24,
    INDEX(GrainTypeMetricsTable[], ,1),
    INDEX(GrainTypeMetricsTable[], , MATCH($A39, GrainTypeMetricsTable[#Headers], 0))
  )
)</f>
        <v>0</v>
      </c>
      <c r="M39" s="142" cm="1">
        <f t="array" ref="M39">SUMPRODUCT(
  M$11:M$24,
  _xlfn.XLOOKUP(
    $A$11:$A$24,
    INDEX(GrainTypeMetricsTable[], ,1),
    INDEX(GrainTypeMetricsTable[], , MATCH($A39, GrainTypeMetricsTable[#Headers], 0))
  )
)</f>
        <v>0</v>
      </c>
      <c r="N39" s="142">
        <f t="shared" si="2"/>
        <v>0</v>
      </c>
      <c r="O39" s="142" t="e">
        <f t="shared" si="3"/>
        <v>#DIV/0!</v>
      </c>
    </row>
    <row r="40" spans="1:15" x14ac:dyDescent="0.3">
      <c r="A40" s="4" t="s">
        <v>18</v>
      </c>
      <c r="B40" s="142" cm="1">
        <f t="array" ref="B40">SUMPRODUCT(
  B$11:B$24,
  _xlfn.XLOOKUP(
    $A$11:$A$24,
    INDEX(GrainTypeMetricsTable[], ,1),
    INDEX(GrainTypeMetricsTable[], , MATCH($A40, GrainTypeMetricsTable[#Headers], 0))
  )
)</f>
        <v>0</v>
      </c>
      <c r="C40" s="142" cm="1">
        <f t="array" ref="C40">SUMPRODUCT(
  C$11:C$24,
  _xlfn.XLOOKUP(
    $A$11:$A$24,
    INDEX(GrainTypeMetricsTable[], ,1),
    INDEX(GrainTypeMetricsTable[], , MATCH($A40, GrainTypeMetricsTable[#Headers], 0))
  )
)</f>
        <v>0</v>
      </c>
      <c r="D40" s="142" cm="1">
        <f t="array" ref="D40">SUMPRODUCT(
  D$11:D$24,
  _xlfn.XLOOKUP(
    $A$11:$A$24,
    INDEX(GrainTypeMetricsTable[], ,1),
    INDEX(GrainTypeMetricsTable[], , MATCH($A40, GrainTypeMetricsTable[#Headers], 0))
  )
)</f>
        <v>0</v>
      </c>
      <c r="E40" s="142" cm="1">
        <f t="array" ref="E40">SUMPRODUCT(
  E$11:E$24,
  _xlfn.XLOOKUP(
    $A$11:$A$24,
    INDEX(GrainTypeMetricsTable[], ,1),
    INDEX(GrainTypeMetricsTable[], , MATCH($A40, GrainTypeMetricsTable[#Headers], 0))
  )
)</f>
        <v>0</v>
      </c>
      <c r="F40" s="142" cm="1">
        <f t="array" ref="F40">SUMPRODUCT(
  F$11:F$24,
  _xlfn.XLOOKUP(
    $A$11:$A$24,
    INDEX(GrainTypeMetricsTable[], ,1),
    INDEX(GrainTypeMetricsTable[], , MATCH($A40, GrainTypeMetricsTable[#Headers], 0))
  )
)</f>
        <v>0</v>
      </c>
      <c r="G40" s="142" cm="1">
        <f t="array" ref="G40">SUMPRODUCT(
  G$11:G$24,
  _xlfn.XLOOKUP(
    $A$11:$A$24,
    INDEX(GrainTypeMetricsTable[], ,1),
    INDEX(GrainTypeMetricsTable[], , MATCH($A40, GrainTypeMetricsTable[#Headers], 0))
  )
)</f>
        <v>0</v>
      </c>
      <c r="H40" s="142" cm="1">
        <f t="array" ref="H40">SUMPRODUCT(
  H$11:H$24,
  _xlfn.XLOOKUP(
    $A$11:$A$24,
    INDEX(GrainTypeMetricsTable[], ,1),
    INDEX(GrainTypeMetricsTable[], , MATCH($A40, GrainTypeMetricsTable[#Headers], 0))
  )
)</f>
        <v>0</v>
      </c>
      <c r="I40" s="142" cm="1">
        <f t="array" ref="I40">SUMPRODUCT(
  I$11:I$24,
  _xlfn.XLOOKUP(
    $A$11:$A$24,
    INDEX(GrainTypeMetricsTable[], ,1),
    INDEX(GrainTypeMetricsTable[], , MATCH($A40, GrainTypeMetricsTable[#Headers], 0))
  )
)</f>
        <v>0</v>
      </c>
      <c r="J40" s="142" cm="1">
        <f t="array" ref="J40">SUMPRODUCT(
  J$11:J$24,
  _xlfn.XLOOKUP(
    $A$11:$A$24,
    INDEX(GrainTypeMetricsTable[], ,1),
    INDEX(GrainTypeMetricsTable[], , MATCH($A40, GrainTypeMetricsTable[#Headers], 0))
  )
)</f>
        <v>0</v>
      </c>
      <c r="K40" s="142" cm="1">
        <f t="array" ref="K40">SUMPRODUCT(
  K$11:K$24,
  _xlfn.XLOOKUP(
    $A$11:$A$24,
    INDEX(GrainTypeMetricsTable[], ,1),
    INDEX(GrainTypeMetricsTable[], , MATCH($A40, GrainTypeMetricsTable[#Headers], 0))
  )
)</f>
        <v>0</v>
      </c>
      <c r="L40" s="142" cm="1">
        <f t="array" ref="L40">SUMPRODUCT(
  L$11:L$24,
  _xlfn.XLOOKUP(
    $A$11:$A$24,
    INDEX(GrainTypeMetricsTable[], ,1),
    INDEX(GrainTypeMetricsTable[], , MATCH($A40, GrainTypeMetricsTable[#Headers], 0))
  )
)</f>
        <v>0</v>
      </c>
      <c r="M40" s="142" cm="1">
        <f t="array" ref="M40">SUMPRODUCT(
  M$11:M$24,
  _xlfn.XLOOKUP(
    $A$11:$A$24,
    INDEX(GrainTypeMetricsTable[], ,1),
    INDEX(GrainTypeMetricsTable[], , MATCH($A40, GrainTypeMetricsTable[#Headers], 0))
  )
)</f>
        <v>0</v>
      </c>
      <c r="N40" s="142">
        <f t="shared" si="2"/>
        <v>0</v>
      </c>
      <c r="O40" s="142" t="e">
        <f t="shared" si="3"/>
        <v>#DIV/0!</v>
      </c>
    </row>
    <row r="42" spans="1:15" x14ac:dyDescent="0.3">
      <c r="B42" s="93"/>
    </row>
    <row r="61" spans="3:5" x14ac:dyDescent="0.3">
      <c r="C61" s="12" t="s">
        <v>833</v>
      </c>
    </row>
    <row r="62" spans="3:5" x14ac:dyDescent="0.3">
      <c r="C62" s="12" t="s">
        <v>833</v>
      </c>
      <c r="E62" s="12">
        <f>IF(C61=C62,1,0)</f>
        <v>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6DCF0-D968-4B81-A8C8-51603AA7C028}">
  <sheetPr codeName="Sheet3"/>
  <dimension ref="A1:T47"/>
  <sheetViews>
    <sheetView zoomScale="75" zoomScaleNormal="75" workbookViewId="0">
      <selection activeCell="H37" sqref="H37"/>
    </sheetView>
  </sheetViews>
  <sheetFormatPr defaultColWidth="8.85546875" defaultRowHeight="16.5" x14ac:dyDescent="0.3"/>
  <cols>
    <col min="1" max="1" width="24.140625" style="3" customWidth="1"/>
    <col min="2" max="2" width="20.5703125" style="3" customWidth="1"/>
    <col min="3" max="3" width="22.5703125" style="3" bestFit="1" customWidth="1"/>
    <col min="4" max="4" width="20.42578125" style="3" bestFit="1" customWidth="1"/>
    <col min="5" max="5" width="25.140625" style="3" customWidth="1"/>
    <col min="6" max="20" width="14.85546875" style="3" customWidth="1"/>
    <col min="21" max="16384" width="8.85546875" style="3"/>
  </cols>
  <sheetData>
    <row r="1" spans="1:20" x14ac:dyDescent="0.3">
      <c r="A1" s="4" t="s">
        <v>4</v>
      </c>
      <c r="B1" s="167" t="s">
        <v>5</v>
      </c>
      <c r="C1" s="158"/>
    </row>
    <row r="2" spans="1:20" x14ac:dyDescent="0.3">
      <c r="A2" s="4"/>
      <c r="B2" s="4"/>
    </row>
    <row r="3" spans="1:20" x14ac:dyDescent="0.3">
      <c r="A3" s="43" t="s">
        <v>6</v>
      </c>
      <c r="B3" s="57"/>
    </row>
    <row r="4" spans="1:20" x14ac:dyDescent="0.3">
      <c r="A4" s="43" t="s">
        <v>7</v>
      </c>
      <c r="B4" s="144"/>
    </row>
    <row r="5" spans="1:20" ht="18" x14ac:dyDescent="0.3">
      <c r="A5" s="43" t="s">
        <v>8</v>
      </c>
      <c r="B5" s="102"/>
      <c r="C5" s="24" t="s">
        <v>835</v>
      </c>
      <c r="J5" s="27"/>
    </row>
    <row r="6" spans="1:20" x14ac:dyDescent="0.3">
      <c r="A6" s="4"/>
      <c r="B6" s="4"/>
    </row>
    <row r="7" spans="1:20" ht="14.45" customHeight="1" x14ac:dyDescent="0.3">
      <c r="A7" s="559" t="s">
        <v>9</v>
      </c>
      <c r="B7" s="559"/>
      <c r="C7" s="560" t="s">
        <v>964</v>
      </c>
      <c r="D7" s="560"/>
      <c r="E7" s="560"/>
      <c r="F7" s="560"/>
      <c r="G7" s="560"/>
      <c r="H7" s="560"/>
      <c r="I7" s="560"/>
      <c r="J7" s="560"/>
      <c r="M7" s="4" t="s">
        <v>10</v>
      </c>
    </row>
    <row r="8" spans="1:20" s="4" customFormat="1" ht="19.7" customHeight="1" x14ac:dyDescent="0.3">
      <c r="A8" s="562" t="s">
        <v>951</v>
      </c>
      <c r="B8" s="563"/>
      <c r="C8" s="339" t="s">
        <v>11</v>
      </c>
      <c r="D8" s="339" t="s">
        <v>12</v>
      </c>
      <c r="E8" s="339" t="s">
        <v>13</v>
      </c>
      <c r="F8" s="339" t="s">
        <v>14</v>
      </c>
      <c r="G8" s="339" t="s">
        <v>15</v>
      </c>
      <c r="H8" s="339" t="s">
        <v>16</v>
      </c>
      <c r="I8" s="339" t="s">
        <v>17</v>
      </c>
      <c r="J8" s="339" t="s">
        <v>18</v>
      </c>
      <c r="K8" s="339" t="s">
        <v>19</v>
      </c>
      <c r="M8" s="351" t="s">
        <v>11</v>
      </c>
      <c r="N8" s="351" t="s">
        <v>12</v>
      </c>
      <c r="O8" s="351" t="s">
        <v>13</v>
      </c>
      <c r="P8" s="351" t="s">
        <v>14</v>
      </c>
      <c r="Q8" s="351" t="s">
        <v>15</v>
      </c>
      <c r="R8" s="351" t="s">
        <v>16</v>
      </c>
      <c r="S8" s="351" t="s">
        <v>17</v>
      </c>
      <c r="T8" s="351" t="s">
        <v>18</v>
      </c>
    </row>
    <row r="9" spans="1:20" x14ac:dyDescent="0.3">
      <c r="A9" s="561" t="s">
        <v>20</v>
      </c>
      <c r="B9" s="561"/>
      <c r="C9" s="121"/>
      <c r="D9" s="121"/>
      <c r="E9" s="121"/>
      <c r="F9" s="121"/>
      <c r="G9" s="121"/>
      <c r="H9" s="121"/>
      <c r="I9" s="121"/>
      <c r="J9" s="121"/>
      <c r="K9" s="123">
        <f>SUM(C9:J9)</f>
        <v>0</v>
      </c>
      <c r="M9" s="117" t="str">
        <f t="shared" ref="M9:T10" si="0">IFERROR(C9/$K9,"")</f>
        <v/>
      </c>
      <c r="N9" s="117" t="str">
        <f t="shared" si="0"/>
        <v/>
      </c>
      <c r="O9" s="117" t="str">
        <f t="shared" si="0"/>
        <v/>
      </c>
      <c r="P9" s="117" t="str">
        <f t="shared" si="0"/>
        <v/>
      </c>
      <c r="Q9" s="117" t="str">
        <f t="shared" si="0"/>
        <v/>
      </c>
      <c r="R9" s="117" t="str">
        <f t="shared" si="0"/>
        <v/>
      </c>
      <c r="S9" s="117" t="str">
        <f t="shared" si="0"/>
        <v/>
      </c>
      <c r="T9" s="117" t="str">
        <f t="shared" si="0"/>
        <v/>
      </c>
    </row>
    <row r="10" spans="1:20" x14ac:dyDescent="0.3">
      <c r="A10" s="561" t="s">
        <v>21</v>
      </c>
      <c r="B10" s="561"/>
      <c r="C10" s="121"/>
      <c r="D10" s="121"/>
      <c r="E10" s="121"/>
      <c r="F10" s="121"/>
      <c r="G10" s="121"/>
      <c r="H10" s="121"/>
      <c r="I10" s="121"/>
      <c r="J10" s="121"/>
      <c r="K10" s="123">
        <f>SUM(C10:J10)</f>
        <v>0</v>
      </c>
      <c r="M10" s="117" t="str">
        <f t="shared" si="0"/>
        <v/>
      </c>
      <c r="N10" s="117" t="str">
        <f t="shared" si="0"/>
        <v/>
      </c>
      <c r="O10" s="117" t="str">
        <f t="shared" si="0"/>
        <v/>
      </c>
      <c r="P10" s="117" t="str">
        <f t="shared" si="0"/>
        <v/>
      </c>
      <c r="Q10" s="117" t="str">
        <f t="shared" si="0"/>
        <v/>
      </c>
      <c r="R10" s="117" t="str">
        <f t="shared" si="0"/>
        <v/>
      </c>
      <c r="S10" s="117" t="str">
        <f t="shared" si="0"/>
        <v/>
      </c>
      <c r="T10" s="117" t="str">
        <f t="shared" si="0"/>
        <v/>
      </c>
    </row>
    <row r="11" spans="1:20" x14ac:dyDescent="0.3">
      <c r="A11" s="561" t="s">
        <v>22</v>
      </c>
      <c r="B11" s="561"/>
      <c r="C11" s="121"/>
      <c r="D11" s="121"/>
      <c r="E11" s="121"/>
      <c r="F11" s="121"/>
      <c r="G11" s="121"/>
      <c r="H11" s="121"/>
      <c r="I11" s="121"/>
      <c r="J11" s="121"/>
      <c r="K11" s="123">
        <f t="shared" ref="K11:K18" si="1">SUM(C11:J11)</f>
        <v>0</v>
      </c>
      <c r="M11" s="117" t="str">
        <f t="shared" ref="M11:M18" si="2">IFERROR(C11/$K11,"")</f>
        <v/>
      </c>
      <c r="N11" s="117" t="str">
        <f t="shared" ref="N11:N18" si="3">IFERROR(D11/$K11,"")</f>
        <v/>
      </c>
      <c r="O11" s="117" t="str">
        <f t="shared" ref="O11:O18" si="4">IFERROR(E11/$K11,"")</f>
        <v/>
      </c>
      <c r="P11" s="117" t="str">
        <f t="shared" ref="P11:P18" si="5">IFERROR(F11/$K11,"")</f>
        <v/>
      </c>
      <c r="Q11" s="117" t="str">
        <f t="shared" ref="Q11:Q18" si="6">IFERROR(G11/$K11,"")</f>
        <v/>
      </c>
      <c r="R11" s="117" t="str">
        <f t="shared" ref="R11:R18" si="7">IFERROR(H11/$K11,"")</f>
        <v/>
      </c>
      <c r="S11" s="117" t="str">
        <f t="shared" ref="S11:S18" si="8">IFERROR(I11/$K11,"")</f>
        <v/>
      </c>
      <c r="T11" s="117" t="str">
        <f t="shared" ref="T11:T18" si="9">IFERROR(J11/$K11,"")</f>
        <v/>
      </c>
    </row>
    <row r="12" spans="1:20" x14ac:dyDescent="0.3">
      <c r="A12" s="561" t="s">
        <v>23</v>
      </c>
      <c r="B12" s="561"/>
      <c r="C12" s="121"/>
      <c r="D12" s="121"/>
      <c r="E12" s="121"/>
      <c r="F12" s="121"/>
      <c r="G12" s="121"/>
      <c r="H12" s="121"/>
      <c r="I12" s="121"/>
      <c r="J12" s="121"/>
      <c r="K12" s="123">
        <f t="shared" si="1"/>
        <v>0</v>
      </c>
      <c r="M12" s="117" t="str">
        <f t="shared" si="2"/>
        <v/>
      </c>
      <c r="N12" s="117" t="str">
        <f t="shared" si="3"/>
        <v/>
      </c>
      <c r="O12" s="117" t="str">
        <f t="shared" si="4"/>
        <v/>
      </c>
      <c r="P12" s="117" t="str">
        <f t="shared" si="5"/>
        <v/>
      </c>
      <c r="Q12" s="117" t="str">
        <f t="shared" si="6"/>
        <v/>
      </c>
      <c r="R12" s="117" t="str">
        <f t="shared" si="7"/>
        <v/>
      </c>
      <c r="S12" s="117" t="str">
        <f t="shared" si="8"/>
        <v/>
      </c>
      <c r="T12" s="117" t="str">
        <f t="shared" si="9"/>
        <v/>
      </c>
    </row>
    <row r="13" spans="1:20" x14ac:dyDescent="0.3">
      <c r="A13" s="561" t="s">
        <v>24</v>
      </c>
      <c r="B13" s="561"/>
      <c r="C13" s="121"/>
      <c r="D13" s="121"/>
      <c r="E13" s="121"/>
      <c r="F13" s="121"/>
      <c r="G13" s="121"/>
      <c r="H13" s="121"/>
      <c r="I13" s="121"/>
      <c r="J13" s="121"/>
      <c r="K13" s="123">
        <f t="shared" si="1"/>
        <v>0</v>
      </c>
      <c r="M13" s="117" t="str">
        <f t="shared" si="2"/>
        <v/>
      </c>
      <c r="N13" s="117" t="str">
        <f t="shared" si="3"/>
        <v/>
      </c>
      <c r="O13" s="117" t="str">
        <f t="shared" si="4"/>
        <v/>
      </c>
      <c r="P13" s="117" t="str">
        <f t="shared" si="5"/>
        <v/>
      </c>
      <c r="Q13" s="117" t="str">
        <f t="shared" si="6"/>
        <v/>
      </c>
      <c r="R13" s="117" t="str">
        <f t="shared" si="7"/>
        <v/>
      </c>
      <c r="S13" s="117" t="str">
        <f t="shared" si="8"/>
        <v/>
      </c>
      <c r="T13" s="117" t="str">
        <f t="shared" si="9"/>
        <v/>
      </c>
    </row>
    <row r="14" spans="1:20" x14ac:dyDescent="0.3">
      <c r="A14" s="561" t="s">
        <v>25</v>
      </c>
      <c r="B14" s="561"/>
      <c r="C14" s="121"/>
      <c r="D14" s="121"/>
      <c r="E14" s="121"/>
      <c r="F14" s="121"/>
      <c r="G14" s="121"/>
      <c r="H14" s="121"/>
      <c r="I14" s="121"/>
      <c r="J14" s="121"/>
      <c r="K14" s="123">
        <f t="shared" si="1"/>
        <v>0</v>
      </c>
      <c r="M14" s="117" t="str">
        <f t="shared" si="2"/>
        <v/>
      </c>
      <c r="N14" s="117" t="str">
        <f t="shared" si="3"/>
        <v/>
      </c>
      <c r="O14" s="117" t="str">
        <f t="shared" si="4"/>
        <v/>
      </c>
      <c r="P14" s="117" t="str">
        <f t="shared" si="5"/>
        <v/>
      </c>
      <c r="Q14" s="117" t="str">
        <f t="shared" si="6"/>
        <v/>
      </c>
      <c r="R14" s="117" t="str">
        <f t="shared" si="7"/>
        <v/>
      </c>
      <c r="S14" s="117" t="str">
        <f t="shared" si="8"/>
        <v/>
      </c>
      <c r="T14" s="117" t="str">
        <f t="shared" si="9"/>
        <v/>
      </c>
    </row>
    <row r="15" spans="1:20" x14ac:dyDescent="0.3">
      <c r="A15" s="561" t="s">
        <v>26</v>
      </c>
      <c r="B15" s="561"/>
      <c r="C15" s="121"/>
      <c r="D15" s="121"/>
      <c r="E15" s="121"/>
      <c r="F15" s="121"/>
      <c r="G15" s="121"/>
      <c r="H15" s="121"/>
      <c r="I15" s="121"/>
      <c r="J15" s="121"/>
      <c r="K15" s="123">
        <f t="shared" si="1"/>
        <v>0</v>
      </c>
      <c r="M15" s="117" t="str">
        <f t="shared" si="2"/>
        <v/>
      </c>
      <c r="N15" s="117" t="str">
        <f t="shared" si="3"/>
        <v/>
      </c>
      <c r="O15" s="117" t="str">
        <f t="shared" si="4"/>
        <v/>
      </c>
      <c r="P15" s="117" t="str">
        <f t="shared" si="5"/>
        <v/>
      </c>
      <c r="Q15" s="117" t="str">
        <f t="shared" si="6"/>
        <v/>
      </c>
      <c r="R15" s="117" t="str">
        <f t="shared" si="7"/>
        <v/>
      </c>
      <c r="S15" s="117" t="str">
        <f t="shared" si="8"/>
        <v/>
      </c>
      <c r="T15" s="117" t="str">
        <f t="shared" si="9"/>
        <v/>
      </c>
    </row>
    <row r="16" spans="1:20" x14ac:dyDescent="0.3">
      <c r="A16" s="561" t="s">
        <v>27</v>
      </c>
      <c r="B16" s="561"/>
      <c r="C16" s="121"/>
      <c r="D16" s="121"/>
      <c r="E16" s="121"/>
      <c r="F16" s="121"/>
      <c r="G16" s="121"/>
      <c r="H16" s="121"/>
      <c r="I16" s="121"/>
      <c r="J16" s="121"/>
      <c r="K16" s="123">
        <f t="shared" si="1"/>
        <v>0</v>
      </c>
      <c r="M16" s="117" t="str">
        <f t="shared" si="2"/>
        <v/>
      </c>
      <c r="N16" s="117" t="str">
        <f t="shared" si="3"/>
        <v/>
      </c>
      <c r="O16" s="117" t="str">
        <f t="shared" si="4"/>
        <v/>
      </c>
      <c r="P16" s="117" t="str">
        <f t="shared" si="5"/>
        <v/>
      </c>
      <c r="Q16" s="117" t="str">
        <f t="shared" si="6"/>
        <v/>
      </c>
      <c r="R16" s="117" t="str">
        <f t="shared" si="7"/>
        <v/>
      </c>
      <c r="S16" s="117" t="str">
        <f t="shared" si="8"/>
        <v/>
      </c>
      <c r="T16" s="117" t="str">
        <f t="shared" si="9"/>
        <v/>
      </c>
    </row>
    <row r="17" spans="1:20" x14ac:dyDescent="0.3">
      <c r="A17" s="561" t="s">
        <v>28</v>
      </c>
      <c r="B17" s="561"/>
      <c r="C17" s="121"/>
      <c r="D17" s="121"/>
      <c r="E17" s="121"/>
      <c r="F17" s="121"/>
      <c r="G17" s="121"/>
      <c r="H17" s="121"/>
      <c r="I17" s="121"/>
      <c r="J17" s="121"/>
      <c r="K17" s="123">
        <f t="shared" si="1"/>
        <v>0</v>
      </c>
      <c r="M17" s="117" t="str">
        <f t="shared" si="2"/>
        <v/>
      </c>
      <c r="N17" s="117" t="str">
        <f t="shared" si="3"/>
        <v/>
      </c>
      <c r="O17" s="117" t="str">
        <f t="shared" si="4"/>
        <v/>
      </c>
      <c r="P17" s="117" t="str">
        <f t="shared" si="5"/>
        <v/>
      </c>
      <c r="Q17" s="117" t="str">
        <f t="shared" si="6"/>
        <v/>
      </c>
      <c r="R17" s="117" t="str">
        <f t="shared" si="7"/>
        <v/>
      </c>
      <c r="S17" s="117" t="str">
        <f t="shared" si="8"/>
        <v/>
      </c>
      <c r="T17" s="117" t="str">
        <f t="shared" si="9"/>
        <v/>
      </c>
    </row>
    <row r="18" spans="1:20" x14ac:dyDescent="0.3">
      <c r="A18" s="561" t="s">
        <v>29</v>
      </c>
      <c r="B18" s="561"/>
      <c r="C18" s="121"/>
      <c r="D18" s="121"/>
      <c r="E18" s="121"/>
      <c r="F18" s="121"/>
      <c r="G18" s="121"/>
      <c r="H18" s="121"/>
      <c r="I18" s="121"/>
      <c r="J18" s="121"/>
      <c r="K18" s="123">
        <f t="shared" si="1"/>
        <v>0</v>
      </c>
      <c r="M18" s="117" t="str">
        <f t="shared" si="2"/>
        <v/>
      </c>
      <c r="N18" s="117" t="str">
        <f t="shared" si="3"/>
        <v/>
      </c>
      <c r="O18" s="117" t="str">
        <f t="shared" si="4"/>
        <v/>
      </c>
      <c r="P18" s="117" t="str">
        <f t="shared" si="5"/>
        <v/>
      </c>
      <c r="Q18" s="117" t="str">
        <f t="shared" si="6"/>
        <v/>
      </c>
      <c r="R18" s="117" t="str">
        <f t="shared" si="7"/>
        <v/>
      </c>
      <c r="S18" s="117" t="str">
        <f t="shared" si="8"/>
        <v/>
      </c>
      <c r="T18" s="117" t="str">
        <f t="shared" si="9"/>
        <v/>
      </c>
    </row>
    <row r="19" spans="1:20" ht="22.7" customHeight="1" x14ac:dyDescent="0.3">
      <c r="B19" s="48" t="s">
        <v>30</v>
      </c>
      <c r="C19" s="174" t="str">
        <f t="shared" ref="C19:J19" si="10">IF($B$3="","",IFERROR((AVERAGE(C9:C18)),0))</f>
        <v/>
      </c>
      <c r="D19" s="174" t="str">
        <f t="shared" si="10"/>
        <v/>
      </c>
      <c r="E19" s="174" t="str">
        <f t="shared" si="10"/>
        <v/>
      </c>
      <c r="F19" s="174" t="str">
        <f t="shared" si="10"/>
        <v/>
      </c>
      <c r="G19" s="174" t="str">
        <f t="shared" si="10"/>
        <v/>
      </c>
      <c r="H19" s="174" t="str">
        <f t="shared" si="10"/>
        <v/>
      </c>
      <c r="I19" s="174" t="str">
        <f t="shared" si="10"/>
        <v/>
      </c>
      <c r="J19" s="174" t="str">
        <f t="shared" si="10"/>
        <v/>
      </c>
      <c r="K19" s="175">
        <f>SUM(C19:J19)</f>
        <v>0</v>
      </c>
      <c r="L19" s="28" t="s">
        <v>30</v>
      </c>
      <c r="M19" s="117" t="e">
        <f>AVERAGE(M9:M18)</f>
        <v>#DIV/0!</v>
      </c>
      <c r="N19" s="117" t="e">
        <f>AVERAGE(N9:N18)</f>
        <v>#DIV/0!</v>
      </c>
      <c r="O19" s="117" t="e">
        <f>AVERAGE(O9:O18)</f>
        <v>#DIV/0!</v>
      </c>
      <c r="P19" s="117" t="e">
        <f t="shared" ref="P19:T19" si="11">AVERAGE(P9:P18)</f>
        <v>#DIV/0!</v>
      </c>
      <c r="Q19" s="117" t="e">
        <f t="shared" si="11"/>
        <v>#DIV/0!</v>
      </c>
      <c r="R19" s="117" t="e">
        <f t="shared" si="11"/>
        <v>#DIV/0!</v>
      </c>
      <c r="S19" s="117" t="e">
        <f t="shared" si="11"/>
        <v>#DIV/0!</v>
      </c>
      <c r="T19" s="117" t="e">
        <f t="shared" si="11"/>
        <v>#DIV/0!</v>
      </c>
    </row>
    <row r="20" spans="1:20" x14ac:dyDescent="0.3">
      <c r="A20" s="106"/>
      <c r="C20" s="70"/>
      <c r="D20" s="70"/>
      <c r="E20" s="70"/>
      <c r="F20" s="70"/>
      <c r="G20" s="70"/>
      <c r="H20" s="70"/>
      <c r="I20" s="70"/>
      <c r="J20" s="70"/>
      <c r="K20" s="166"/>
      <c r="L20" s="28"/>
      <c r="M20" s="104"/>
      <c r="N20" s="104"/>
      <c r="O20" s="104"/>
      <c r="P20" s="104"/>
      <c r="Q20" s="104"/>
      <c r="R20" s="104"/>
      <c r="S20" s="104"/>
      <c r="T20" s="104"/>
    </row>
    <row r="21" spans="1:20" x14ac:dyDescent="0.3">
      <c r="A21" s="43" t="s">
        <v>31</v>
      </c>
      <c r="B21" s="88"/>
    </row>
    <row r="22" spans="1:20" s="59" customFormat="1" ht="17.45" customHeight="1" x14ac:dyDescent="0.25">
      <c r="A22" s="339" t="s">
        <v>951</v>
      </c>
      <c r="B22" s="339" t="s">
        <v>32</v>
      </c>
      <c r="C22" s="350" t="s">
        <v>33</v>
      </c>
      <c r="D22" s="350" t="s">
        <v>34</v>
      </c>
      <c r="E22" s="350" t="s">
        <v>35</v>
      </c>
      <c r="F22" s="339" t="s">
        <v>36</v>
      </c>
      <c r="G22" s="339" t="s">
        <v>37</v>
      </c>
      <c r="H22" s="339" t="s">
        <v>38</v>
      </c>
      <c r="I22" s="339" t="s">
        <v>39</v>
      </c>
    </row>
    <row r="23" spans="1:20" x14ac:dyDescent="0.3">
      <c r="A23" s="169" t="s">
        <v>20</v>
      </c>
      <c r="B23" s="170"/>
      <c r="C23" s="170"/>
      <c r="D23" s="170"/>
      <c r="E23" s="170"/>
      <c r="F23" s="117" t="str">
        <f t="shared" ref="F23:F32" si="12">IF(C23="","",C23/$B23)</f>
        <v/>
      </c>
      <c r="G23" s="117" t="str">
        <f t="shared" ref="G23:G32" si="13">IF(D23="","",D23/$B23)</f>
        <v/>
      </c>
      <c r="H23" s="117" t="str">
        <f t="shared" ref="H23:H32" si="14">IF(E23="","",E23/$B23)</f>
        <v/>
      </c>
      <c r="I23" s="171" t="str">
        <f t="shared" ref="I23:I32" si="15">IF($B$3="","",(IFERROR(AVERAGE(F23:H23),"")))</f>
        <v/>
      </c>
    </row>
    <row r="24" spans="1:20" x14ac:dyDescent="0.3">
      <c r="A24" s="112" t="s">
        <v>21</v>
      </c>
      <c r="B24" s="170"/>
      <c r="C24" s="170"/>
      <c r="D24" s="170"/>
      <c r="E24" s="170"/>
      <c r="F24" s="117" t="str">
        <f t="shared" si="12"/>
        <v/>
      </c>
      <c r="G24" s="117" t="str">
        <f t="shared" si="13"/>
        <v/>
      </c>
      <c r="H24" s="117" t="str">
        <f t="shared" si="14"/>
        <v/>
      </c>
      <c r="I24" s="117" t="str">
        <f t="shared" si="15"/>
        <v/>
      </c>
    </row>
    <row r="25" spans="1:20" x14ac:dyDescent="0.3">
      <c r="A25" s="112" t="s">
        <v>22</v>
      </c>
      <c r="B25" s="170"/>
      <c r="C25" s="170"/>
      <c r="D25" s="170"/>
      <c r="E25" s="170"/>
      <c r="F25" s="117" t="str">
        <f t="shared" si="12"/>
        <v/>
      </c>
      <c r="G25" s="117" t="str">
        <f t="shared" si="13"/>
        <v/>
      </c>
      <c r="H25" s="117" t="str">
        <f t="shared" si="14"/>
        <v/>
      </c>
      <c r="I25" s="117" t="str">
        <f t="shared" si="15"/>
        <v/>
      </c>
    </row>
    <row r="26" spans="1:20" x14ac:dyDescent="0.3">
      <c r="A26" s="112" t="s">
        <v>23</v>
      </c>
      <c r="B26" s="170"/>
      <c r="C26" s="170"/>
      <c r="D26" s="170"/>
      <c r="E26" s="170"/>
      <c r="F26" s="117" t="str">
        <f t="shared" si="12"/>
        <v/>
      </c>
      <c r="G26" s="117" t="str">
        <f t="shared" si="13"/>
        <v/>
      </c>
      <c r="H26" s="117" t="str">
        <f t="shared" si="14"/>
        <v/>
      </c>
      <c r="I26" s="117" t="str">
        <f t="shared" si="15"/>
        <v/>
      </c>
    </row>
    <row r="27" spans="1:20" x14ac:dyDescent="0.3">
      <c r="A27" s="112" t="s">
        <v>24</v>
      </c>
      <c r="B27" s="170"/>
      <c r="C27" s="170"/>
      <c r="D27" s="170"/>
      <c r="E27" s="170"/>
      <c r="F27" s="117" t="str">
        <f t="shared" si="12"/>
        <v/>
      </c>
      <c r="G27" s="117" t="str">
        <f t="shared" si="13"/>
        <v/>
      </c>
      <c r="H27" s="117" t="str">
        <f t="shared" si="14"/>
        <v/>
      </c>
      <c r="I27" s="117" t="str">
        <f t="shared" si="15"/>
        <v/>
      </c>
    </row>
    <row r="28" spans="1:20" x14ac:dyDescent="0.3">
      <c r="A28" s="112" t="s">
        <v>25</v>
      </c>
      <c r="B28" s="170"/>
      <c r="C28" s="170"/>
      <c r="D28" s="170"/>
      <c r="E28" s="170"/>
      <c r="F28" s="117" t="str">
        <f t="shared" si="12"/>
        <v/>
      </c>
      <c r="G28" s="117" t="str">
        <f t="shared" si="13"/>
        <v/>
      </c>
      <c r="H28" s="117" t="str">
        <f t="shared" si="14"/>
        <v/>
      </c>
      <c r="I28" s="117" t="str">
        <f t="shared" si="15"/>
        <v/>
      </c>
    </row>
    <row r="29" spans="1:20" x14ac:dyDescent="0.3">
      <c r="A29" s="112" t="s">
        <v>26</v>
      </c>
      <c r="B29" s="170"/>
      <c r="C29" s="170"/>
      <c r="D29" s="170"/>
      <c r="E29" s="170"/>
      <c r="F29" s="117" t="str">
        <f t="shared" si="12"/>
        <v/>
      </c>
      <c r="G29" s="117" t="str">
        <f t="shared" si="13"/>
        <v/>
      </c>
      <c r="H29" s="117" t="str">
        <f t="shared" si="14"/>
        <v/>
      </c>
      <c r="I29" s="117" t="str">
        <f t="shared" si="15"/>
        <v/>
      </c>
    </row>
    <row r="30" spans="1:20" x14ac:dyDescent="0.3">
      <c r="A30" s="112" t="s">
        <v>27</v>
      </c>
      <c r="B30" s="170"/>
      <c r="C30" s="170"/>
      <c r="D30" s="170"/>
      <c r="E30" s="170"/>
      <c r="F30" s="117" t="str">
        <f t="shared" si="12"/>
        <v/>
      </c>
      <c r="G30" s="117" t="str">
        <f t="shared" si="13"/>
        <v/>
      </c>
      <c r="H30" s="117" t="str">
        <f t="shared" si="14"/>
        <v/>
      </c>
      <c r="I30" s="117" t="str">
        <f t="shared" si="15"/>
        <v/>
      </c>
    </row>
    <row r="31" spans="1:20" x14ac:dyDescent="0.3">
      <c r="A31" s="112" t="s">
        <v>28</v>
      </c>
      <c r="B31" s="170"/>
      <c r="C31" s="170"/>
      <c r="D31" s="170"/>
      <c r="E31" s="170"/>
      <c r="F31" s="117" t="str">
        <f t="shared" si="12"/>
        <v/>
      </c>
      <c r="G31" s="117" t="str">
        <f t="shared" si="13"/>
        <v/>
      </c>
      <c r="H31" s="117" t="str">
        <f t="shared" si="14"/>
        <v/>
      </c>
      <c r="I31" s="117" t="str">
        <f t="shared" si="15"/>
        <v/>
      </c>
    </row>
    <row r="32" spans="1:20" x14ac:dyDescent="0.3">
      <c r="A32" s="112" t="s">
        <v>29</v>
      </c>
      <c r="B32" s="170"/>
      <c r="C32" s="170"/>
      <c r="D32" s="170"/>
      <c r="E32" s="170"/>
      <c r="F32" s="117" t="str">
        <f t="shared" si="12"/>
        <v/>
      </c>
      <c r="G32" s="117" t="str">
        <f t="shared" si="13"/>
        <v/>
      </c>
      <c r="H32" s="117" t="str">
        <f t="shared" si="14"/>
        <v/>
      </c>
      <c r="I32" s="117" t="str">
        <f t="shared" si="15"/>
        <v/>
      </c>
    </row>
    <row r="33" spans="1:9" x14ac:dyDescent="0.3">
      <c r="A33" s="4" t="s">
        <v>30</v>
      </c>
      <c r="B33" s="4"/>
      <c r="C33" s="4"/>
      <c r="D33" s="4"/>
      <c r="E33" s="4"/>
      <c r="F33" s="4"/>
      <c r="G33" s="4"/>
      <c r="H33" s="28" t="s">
        <v>30</v>
      </c>
      <c r="I33" s="157" t="str">
        <f>IF($B$3= "", "",AVERAGE(I23:I32))</f>
        <v/>
      </c>
    </row>
    <row r="36" spans="1:9" x14ac:dyDescent="0.3">
      <c r="A36" s="43" t="s">
        <v>1024</v>
      </c>
      <c r="B36" s="88"/>
      <c r="C36" s="88"/>
    </row>
    <row r="37" spans="1:9" x14ac:dyDescent="0.3">
      <c r="A37" s="339" t="s">
        <v>951</v>
      </c>
      <c r="B37" s="339" t="s">
        <v>1025</v>
      </c>
      <c r="C37" s="339" t="s">
        <v>1026</v>
      </c>
      <c r="D37" s="339" t="s">
        <v>1027</v>
      </c>
      <c r="E37" s="350" t="s">
        <v>1028</v>
      </c>
    </row>
    <row r="38" spans="1:9" x14ac:dyDescent="0.3">
      <c r="A38" s="169" t="s">
        <v>20</v>
      </c>
      <c r="B38" s="170"/>
      <c r="C38" s="170"/>
      <c r="D38" s="170"/>
      <c r="E38" s="322"/>
    </row>
    <row r="39" spans="1:9" x14ac:dyDescent="0.3">
      <c r="A39" s="112" t="s">
        <v>21</v>
      </c>
      <c r="B39" s="170"/>
      <c r="C39" s="170"/>
      <c r="D39" s="170"/>
      <c r="E39" s="322"/>
    </row>
    <row r="40" spans="1:9" x14ac:dyDescent="0.3">
      <c r="A40" s="112" t="s">
        <v>22</v>
      </c>
      <c r="B40" s="170"/>
      <c r="C40" s="170"/>
      <c r="D40" s="170"/>
      <c r="E40" s="322"/>
    </row>
    <row r="41" spans="1:9" x14ac:dyDescent="0.3">
      <c r="A41" s="112" t="s">
        <v>23</v>
      </c>
      <c r="B41" s="170"/>
      <c r="C41" s="170"/>
      <c r="D41" s="170"/>
      <c r="E41" s="322"/>
    </row>
    <row r="42" spans="1:9" x14ac:dyDescent="0.3">
      <c r="A42" s="112" t="s">
        <v>24</v>
      </c>
      <c r="B42" s="170"/>
      <c r="C42" s="170"/>
      <c r="D42" s="170"/>
      <c r="E42" s="322"/>
    </row>
    <row r="43" spans="1:9" x14ac:dyDescent="0.3">
      <c r="A43" s="112" t="s">
        <v>25</v>
      </c>
      <c r="B43" s="170"/>
      <c r="C43" s="170"/>
      <c r="D43" s="170"/>
      <c r="E43" s="322"/>
    </row>
    <row r="44" spans="1:9" x14ac:dyDescent="0.3">
      <c r="A44" s="112" t="s">
        <v>26</v>
      </c>
      <c r="B44" s="170"/>
      <c r="C44" s="170"/>
      <c r="D44" s="170"/>
      <c r="E44" s="322"/>
    </row>
    <row r="45" spans="1:9" x14ac:dyDescent="0.3">
      <c r="A45" s="112" t="s">
        <v>27</v>
      </c>
      <c r="B45" s="170"/>
      <c r="C45" s="170"/>
      <c r="D45" s="170"/>
      <c r="E45" s="322"/>
    </row>
    <row r="46" spans="1:9" x14ac:dyDescent="0.3">
      <c r="A46" s="112" t="s">
        <v>28</v>
      </c>
      <c r="B46" s="170"/>
      <c r="C46" s="170"/>
      <c r="D46" s="170"/>
      <c r="E46" s="322"/>
    </row>
    <row r="47" spans="1:9" x14ac:dyDescent="0.3">
      <c r="A47" s="112" t="s">
        <v>29</v>
      </c>
      <c r="B47" s="170"/>
      <c r="C47" s="170"/>
      <c r="D47" s="170"/>
      <c r="E47" s="322"/>
    </row>
  </sheetData>
  <mergeCells count="13">
    <mergeCell ref="A17:B17"/>
    <mergeCell ref="A18:B18"/>
    <mergeCell ref="A8:B8"/>
    <mergeCell ref="A11:B11"/>
    <mergeCell ref="A12:B12"/>
    <mergeCell ref="A13:B13"/>
    <mergeCell ref="A14:B14"/>
    <mergeCell ref="A15:B15"/>
    <mergeCell ref="A7:B7"/>
    <mergeCell ref="C7:J7"/>
    <mergeCell ref="A9:B9"/>
    <mergeCell ref="A10:B10"/>
    <mergeCell ref="A16:B16"/>
  </mergeCells>
  <phoneticPr fontId="18" type="noConversion"/>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A62D0AF8-1893-4BB2-B3C2-078DE0D9C4D0}">
          <x14:formula1>
            <xm:f>'Brittle star metrics'!$A$43:$A$45</xm:f>
          </x14:formula1>
          <xm:sqref>E38:E47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D4BF9-107E-48C5-B34C-80D0FA556079}">
  <sheetPr codeName="Sheet6"/>
  <dimension ref="A1:V107"/>
  <sheetViews>
    <sheetView zoomScale="90" zoomScaleNormal="90" workbookViewId="0">
      <selection activeCell="K15" sqref="K15"/>
    </sheetView>
  </sheetViews>
  <sheetFormatPr defaultColWidth="8.85546875" defaultRowHeight="15" x14ac:dyDescent="0.25"/>
  <cols>
    <col min="1" max="1" width="29.7109375" customWidth="1"/>
    <col min="2" max="13" width="14.85546875" customWidth="1"/>
    <col min="14" max="14" width="21.140625" customWidth="1"/>
    <col min="15" max="15" width="20.85546875" customWidth="1"/>
    <col min="16" max="19" width="12.7109375" customWidth="1"/>
    <col min="20" max="22" width="10.42578125" bestFit="1" customWidth="1"/>
  </cols>
  <sheetData>
    <row r="1" spans="1:16" ht="20.25" customHeight="1" x14ac:dyDescent="0.3">
      <c r="A1" s="4" t="s">
        <v>40</v>
      </c>
      <c r="B1" s="167" t="s">
        <v>5</v>
      </c>
      <c r="C1" s="158"/>
      <c r="D1" s="167"/>
      <c r="E1" s="86"/>
      <c r="F1" s="77"/>
      <c r="G1" s="77"/>
      <c r="H1" s="77"/>
      <c r="I1" s="77"/>
      <c r="J1" s="77"/>
      <c r="K1" s="77"/>
      <c r="L1" s="77"/>
      <c r="M1" s="77"/>
      <c r="N1" s="77"/>
    </row>
    <row r="2" spans="1:16" ht="16.5" x14ac:dyDescent="0.3">
      <c r="A2" s="4"/>
      <c r="B2" s="3"/>
      <c r="C2" s="3"/>
      <c r="D2" s="86"/>
      <c r="E2" s="86"/>
      <c r="F2" s="77"/>
      <c r="G2" s="77"/>
      <c r="H2" s="77"/>
      <c r="I2" s="77"/>
      <c r="J2" s="77"/>
      <c r="K2" s="77"/>
      <c r="L2" s="77"/>
      <c r="M2" s="77"/>
      <c r="N2" s="77"/>
    </row>
    <row r="3" spans="1:16" ht="16.5" x14ac:dyDescent="0.3">
      <c r="A3" s="43" t="s">
        <v>6</v>
      </c>
      <c r="B3" s="57"/>
      <c r="C3" s="3"/>
      <c r="D3" s="86"/>
      <c r="E3" s="86"/>
      <c r="F3" s="77"/>
      <c r="G3" s="77"/>
      <c r="H3" s="77"/>
      <c r="I3" s="77"/>
      <c r="J3" s="77"/>
      <c r="K3" s="77"/>
      <c r="L3" s="77"/>
      <c r="M3" s="77"/>
      <c r="N3" s="77"/>
    </row>
    <row r="4" spans="1:16" ht="16.5" x14ac:dyDescent="0.3">
      <c r="A4" s="43" t="s">
        <v>7</v>
      </c>
      <c r="B4" s="144"/>
      <c r="C4" s="3"/>
      <c r="D4" s="86"/>
      <c r="E4" s="86"/>
      <c r="F4" s="77"/>
      <c r="G4" s="77"/>
      <c r="H4" s="77"/>
      <c r="I4" s="77"/>
      <c r="J4" s="77"/>
      <c r="K4" s="77"/>
      <c r="L4" s="77"/>
      <c r="M4" s="77"/>
      <c r="N4" s="77"/>
    </row>
    <row r="5" spans="1:16" ht="18" x14ac:dyDescent="0.3">
      <c r="A5" s="43" t="s">
        <v>8</v>
      </c>
      <c r="B5" s="102"/>
      <c r="C5" s="24" t="s">
        <v>835</v>
      </c>
      <c r="D5" s="3"/>
      <c r="E5" s="177"/>
      <c r="F5" s="86"/>
      <c r="G5" s="86"/>
      <c r="H5" s="86"/>
      <c r="I5" s="86"/>
      <c r="J5" s="86"/>
      <c r="K5" s="86"/>
      <c r="L5" s="86"/>
    </row>
    <row r="6" spans="1:16" ht="16.5" x14ac:dyDescent="0.3">
      <c r="A6" s="4"/>
      <c r="B6" s="4"/>
      <c r="C6" s="3"/>
      <c r="D6" s="3"/>
      <c r="E6" s="86"/>
      <c r="F6" s="86"/>
      <c r="G6" s="86"/>
      <c r="H6" s="86"/>
      <c r="I6" s="86"/>
      <c r="J6" s="86"/>
      <c r="K6" s="86"/>
      <c r="L6" s="86"/>
    </row>
    <row r="7" spans="1:16" ht="18" x14ac:dyDescent="0.3">
      <c r="A7" s="43" t="s">
        <v>41</v>
      </c>
      <c r="B7" s="81">
        <f>B4*B5</f>
        <v>0</v>
      </c>
      <c r="C7" s="3"/>
      <c r="D7" s="3"/>
      <c r="E7" s="86"/>
      <c r="F7" s="86"/>
      <c r="G7" s="86"/>
      <c r="H7" s="86"/>
      <c r="I7" s="86"/>
      <c r="J7" s="86"/>
      <c r="K7" s="86"/>
      <c r="L7" s="86"/>
    </row>
    <row r="8" spans="1:16" ht="16.5" x14ac:dyDescent="0.3">
      <c r="A8" s="3"/>
      <c r="B8" s="3"/>
      <c r="C8" s="3"/>
      <c r="D8" s="3"/>
      <c r="E8" s="3"/>
      <c r="K8" s="3"/>
      <c r="L8" s="3"/>
      <c r="M8" s="3"/>
      <c r="N8" s="3"/>
      <c r="O8" s="3"/>
    </row>
    <row r="9" spans="1:16" ht="16.5" x14ac:dyDescent="0.3">
      <c r="A9" s="559" t="s">
        <v>42</v>
      </c>
      <c r="B9" s="559"/>
      <c r="C9" s="559"/>
      <c r="D9" s="560" t="s">
        <v>43</v>
      </c>
      <c r="E9" s="560"/>
      <c r="F9" s="560"/>
      <c r="G9" s="560"/>
      <c r="H9" s="560"/>
      <c r="I9" s="560"/>
    </row>
    <row r="10" spans="1:16" ht="16.5" x14ac:dyDescent="0.3">
      <c r="A10" s="567" t="s">
        <v>44</v>
      </c>
      <c r="B10" s="567" t="s">
        <v>45</v>
      </c>
      <c r="C10" s="567"/>
      <c r="D10" s="567"/>
      <c r="E10" s="567"/>
      <c r="F10" s="567"/>
      <c r="G10" s="567"/>
      <c r="H10" s="567"/>
      <c r="I10" s="567"/>
      <c r="M10" s="15"/>
      <c r="N10" s="15"/>
      <c r="O10" s="15"/>
      <c r="P10" s="16"/>
    </row>
    <row r="11" spans="1:16" ht="16.5" x14ac:dyDescent="0.3">
      <c r="A11" s="567"/>
      <c r="B11" s="345" t="s">
        <v>46</v>
      </c>
      <c r="C11" s="345" t="s">
        <v>47</v>
      </c>
      <c r="D11" s="345" t="s">
        <v>48</v>
      </c>
      <c r="E11" s="345" t="s">
        <v>49</v>
      </c>
      <c r="F11" s="345" t="s">
        <v>50</v>
      </c>
      <c r="G11" s="345" t="s">
        <v>766</v>
      </c>
      <c r="H11" s="345" t="s">
        <v>51</v>
      </c>
      <c r="I11" s="345" t="s">
        <v>52</v>
      </c>
      <c r="J11" s="168"/>
      <c r="K11" s="168"/>
    </row>
    <row r="12" spans="1:16" ht="16.5" x14ac:dyDescent="0.3">
      <c r="A12" s="64" t="s">
        <v>53</v>
      </c>
      <c r="B12" s="38"/>
      <c r="C12" s="38"/>
      <c r="D12" s="38"/>
      <c r="E12" s="38"/>
      <c r="F12" s="38"/>
      <c r="G12" s="38"/>
      <c r="H12" s="38"/>
      <c r="I12" s="38"/>
      <c r="K12" s="218"/>
    </row>
    <row r="13" spans="1:16" ht="16.5" x14ac:dyDescent="0.3">
      <c r="A13" s="64" t="s">
        <v>54</v>
      </c>
      <c r="B13" s="38"/>
      <c r="C13" s="38"/>
      <c r="D13" s="38"/>
      <c r="E13" s="38"/>
      <c r="F13" s="38"/>
      <c r="G13" s="38"/>
      <c r="H13" s="38"/>
      <c r="I13" s="38"/>
      <c r="K13" s="218"/>
    </row>
    <row r="14" spans="1:16" ht="16.5" x14ac:dyDescent="0.3">
      <c r="A14" s="64" t="s">
        <v>55</v>
      </c>
      <c r="B14" s="38"/>
      <c r="C14" s="38"/>
      <c r="D14" s="38"/>
      <c r="E14" s="38"/>
      <c r="F14" s="38"/>
      <c r="G14" s="38"/>
      <c r="H14" s="38"/>
      <c r="I14" s="38"/>
      <c r="K14" s="218"/>
    </row>
    <row r="15" spans="1:16" ht="16.5" x14ac:dyDescent="0.3">
      <c r="A15" s="64" t="s">
        <v>56</v>
      </c>
      <c r="B15" s="38"/>
      <c r="C15" s="38"/>
      <c r="D15" s="38"/>
      <c r="E15" s="38"/>
      <c r="F15" s="38"/>
      <c r="G15" s="38"/>
      <c r="H15" s="38"/>
      <c r="I15" s="38"/>
      <c r="K15" s="218"/>
    </row>
    <row r="16" spans="1:16" ht="16.5" x14ac:dyDescent="0.3">
      <c r="A16" s="8" t="s">
        <v>57</v>
      </c>
      <c r="B16" s="38"/>
      <c r="C16" s="38"/>
      <c r="D16" s="38"/>
      <c r="E16" s="38"/>
      <c r="F16" s="38"/>
      <c r="G16" s="38"/>
      <c r="H16" s="38"/>
      <c r="I16" s="38"/>
      <c r="K16" s="218"/>
    </row>
    <row r="17" spans="1:22" ht="16.5" x14ac:dyDescent="0.3">
      <c r="A17" s="17"/>
    </row>
    <row r="18" spans="1:22" ht="18" x14ac:dyDescent="0.3">
      <c r="A18" s="559" t="s">
        <v>58</v>
      </c>
      <c r="B18" s="559"/>
      <c r="C18" s="559"/>
      <c r="D18" s="4"/>
      <c r="E18" s="4"/>
    </row>
    <row r="19" spans="1:22" ht="16.5" x14ac:dyDescent="0.3">
      <c r="A19" s="567" t="s">
        <v>44</v>
      </c>
      <c r="B19" s="567" t="s">
        <v>45</v>
      </c>
      <c r="C19" s="567"/>
      <c r="D19" s="567"/>
      <c r="E19" s="567"/>
      <c r="F19" s="567"/>
      <c r="G19" s="567"/>
      <c r="H19" s="567"/>
      <c r="I19" s="567"/>
    </row>
    <row r="20" spans="1:22" ht="16.5" x14ac:dyDescent="0.3">
      <c r="A20" s="567"/>
      <c r="B20" s="345" t="s">
        <v>46</v>
      </c>
      <c r="C20" s="345" t="s">
        <v>47</v>
      </c>
      <c r="D20" s="345" t="s">
        <v>48</v>
      </c>
      <c r="E20" s="345" t="s">
        <v>49</v>
      </c>
      <c r="F20" s="345" t="s">
        <v>50</v>
      </c>
      <c r="G20" s="345" t="s">
        <v>766</v>
      </c>
      <c r="H20" s="345" t="s">
        <v>59</v>
      </c>
      <c r="I20" s="345" t="s">
        <v>60</v>
      </c>
      <c r="J20" s="3" t="s">
        <v>61</v>
      </c>
    </row>
    <row r="21" spans="1:22" ht="16.5" x14ac:dyDescent="0.3">
      <c r="A21" s="64" t="s">
        <v>53</v>
      </c>
      <c r="B21" s="35">
        <v>8.9862437000000003E-2</v>
      </c>
      <c r="C21" s="35">
        <v>0.60336207799999997</v>
      </c>
      <c r="D21" s="35">
        <v>1.6178369779999999</v>
      </c>
      <c r="E21" s="35">
        <v>3.1332871369999999</v>
      </c>
      <c r="F21" s="35">
        <v>4.7486192389999999</v>
      </c>
      <c r="G21" s="35">
        <v>4.7486192389999999</v>
      </c>
      <c r="H21" s="35">
        <v>4.7486192389999999</v>
      </c>
      <c r="I21" s="35">
        <v>4.7486192389999999</v>
      </c>
      <c r="J21" s="3" t="s">
        <v>769</v>
      </c>
      <c r="M21" s="3" t="s">
        <v>62</v>
      </c>
      <c r="N21" s="3"/>
      <c r="O21" s="179"/>
      <c r="P21" s="163"/>
      <c r="Q21" s="163"/>
      <c r="R21" s="163"/>
      <c r="S21" s="163"/>
      <c r="T21" s="163"/>
      <c r="U21" s="163"/>
      <c r="V21" s="163"/>
    </row>
    <row r="22" spans="1:22" ht="16.5" x14ac:dyDescent="0.3">
      <c r="A22" s="64" t="s">
        <v>54</v>
      </c>
      <c r="B22" s="35">
        <v>6.2932220000000002E-3</v>
      </c>
      <c r="C22" s="35">
        <v>4.2254492999999997E-2</v>
      </c>
      <c r="D22" s="35">
        <v>0.11329993100000001</v>
      </c>
      <c r="E22" s="35">
        <v>0.11329993100000001</v>
      </c>
      <c r="F22" s="35">
        <v>0.11329993100000001</v>
      </c>
      <c r="G22" s="35">
        <v>0.11329993100000001</v>
      </c>
      <c r="H22" s="35">
        <v>0.11329993100000001</v>
      </c>
      <c r="I22" s="35">
        <v>0.11329993100000001</v>
      </c>
      <c r="J22" s="3" t="s">
        <v>769</v>
      </c>
      <c r="M22" s="3" t="s">
        <v>799</v>
      </c>
      <c r="N22" s="3"/>
      <c r="O22" s="179"/>
      <c r="P22" s="163"/>
      <c r="Q22" s="163"/>
      <c r="R22" s="163"/>
      <c r="S22" s="163"/>
      <c r="T22" s="163"/>
      <c r="U22" s="163"/>
      <c r="V22" s="163"/>
    </row>
    <row r="23" spans="1:22" ht="16.5" x14ac:dyDescent="0.3">
      <c r="A23" s="64" t="s">
        <v>55</v>
      </c>
      <c r="B23" s="35">
        <v>6.2932220000000002E-3</v>
      </c>
      <c r="C23" s="35">
        <v>4.2254492999999997E-2</v>
      </c>
      <c r="D23" s="35">
        <v>0.11329993100000001</v>
      </c>
      <c r="E23" s="35">
        <v>0.11329993100000001</v>
      </c>
      <c r="F23" s="35">
        <v>0.11329993100000001</v>
      </c>
      <c r="G23" s="35">
        <v>0.11329993100000001</v>
      </c>
      <c r="H23" s="35">
        <v>0.11329993100000001</v>
      </c>
      <c r="I23" s="35">
        <v>0.11329993100000001</v>
      </c>
      <c r="J23" s="3" t="s">
        <v>769</v>
      </c>
      <c r="M23" s="3" t="s">
        <v>799</v>
      </c>
      <c r="N23" s="3"/>
      <c r="O23" s="179"/>
      <c r="P23" s="163"/>
      <c r="Q23" s="163"/>
      <c r="R23" s="163"/>
      <c r="S23" s="163"/>
      <c r="T23" s="163"/>
      <c r="U23" s="163"/>
      <c r="V23" s="163"/>
    </row>
    <row r="24" spans="1:22" ht="16.5" x14ac:dyDescent="0.3">
      <c r="A24" s="64" t="s">
        <v>56</v>
      </c>
      <c r="B24" s="35">
        <v>2.3916357999999999E-2</v>
      </c>
      <c r="C24" s="35">
        <v>0.16058126</v>
      </c>
      <c r="D24" s="35">
        <v>0.37049521600000002</v>
      </c>
      <c r="E24" s="35">
        <v>0.37049521600000002</v>
      </c>
      <c r="F24" s="35">
        <v>0.37049521600000002</v>
      </c>
      <c r="G24" s="35">
        <v>0.37049521600000002</v>
      </c>
      <c r="H24" s="35">
        <v>0.37049521600000002</v>
      </c>
      <c r="I24" s="35">
        <v>0.37049521600000002</v>
      </c>
      <c r="J24" s="3" t="s">
        <v>769</v>
      </c>
      <c r="M24" s="3" t="s">
        <v>799</v>
      </c>
      <c r="N24" s="3"/>
      <c r="O24" s="179"/>
      <c r="P24" s="163"/>
      <c r="Q24" s="163"/>
      <c r="R24" s="163"/>
      <c r="S24" s="163"/>
      <c r="T24" s="163"/>
      <c r="U24" s="163"/>
      <c r="V24" s="163"/>
    </row>
    <row r="25" spans="1:22" ht="16.5" x14ac:dyDescent="0.3">
      <c r="A25" s="8" t="s">
        <v>57</v>
      </c>
      <c r="B25" s="35">
        <f>AVERAGE(B21:B24)</f>
        <v>3.1591309750000005E-2</v>
      </c>
      <c r="C25" s="35">
        <f t="shared" ref="C25:F25" si="0">AVERAGE(C21:C24)</f>
        <v>0.21211308099999998</v>
      </c>
      <c r="D25" s="35">
        <f t="shared" si="0"/>
        <v>0.55373301399999997</v>
      </c>
      <c r="E25" s="35">
        <f t="shared" si="0"/>
        <v>0.93259555374999992</v>
      </c>
      <c r="F25" s="35">
        <f t="shared" si="0"/>
        <v>1.3364285792500001</v>
      </c>
      <c r="G25" s="35">
        <f>AVERAGE(G21:G24)</f>
        <v>1.3364285792500001</v>
      </c>
      <c r="H25" s="35">
        <f t="shared" ref="H25" si="1">AVERAGE(H21:H24)</f>
        <v>1.3364285792500001</v>
      </c>
      <c r="I25" s="35">
        <f>AVERAGE(I21:I24)</f>
        <v>1.3364285792500001</v>
      </c>
      <c r="J25" s="3" t="s">
        <v>63</v>
      </c>
      <c r="M25" s="3" t="s">
        <v>62</v>
      </c>
      <c r="N25" s="3"/>
    </row>
    <row r="26" spans="1:22" ht="49.5" customHeight="1" x14ac:dyDescent="0.3">
      <c r="A26" s="4"/>
      <c r="J26" s="564" t="s">
        <v>946</v>
      </c>
      <c r="K26" s="564"/>
      <c r="L26" s="564"/>
      <c r="M26" s="564"/>
      <c r="N26" s="564"/>
      <c r="O26" s="564"/>
      <c r="P26" s="564"/>
      <c r="Q26" s="564"/>
      <c r="R26" s="564"/>
      <c r="S26" s="564"/>
      <c r="T26" s="564"/>
      <c r="U26" s="564"/>
      <c r="V26" s="564"/>
    </row>
    <row r="27" spans="1:22" ht="18" x14ac:dyDescent="0.3">
      <c r="A27" s="559" t="s">
        <v>64</v>
      </c>
      <c r="B27" s="559"/>
      <c r="C27" s="559"/>
      <c r="D27" s="4"/>
      <c r="E27" s="23"/>
      <c r="G27" s="3" t="s">
        <v>65</v>
      </c>
      <c r="H27" s="3"/>
      <c r="I27" s="3"/>
      <c r="J27" s="4"/>
    </row>
    <row r="28" spans="1:22" ht="16.5" x14ac:dyDescent="0.3">
      <c r="A28" s="567" t="s">
        <v>44</v>
      </c>
      <c r="B28" s="567" t="s">
        <v>45</v>
      </c>
      <c r="C28" s="567"/>
      <c r="D28" s="567"/>
      <c r="E28" s="567"/>
      <c r="F28" s="567"/>
      <c r="G28" s="567"/>
      <c r="H28" s="567"/>
      <c r="I28" s="567"/>
    </row>
    <row r="29" spans="1:22" ht="16.5" x14ac:dyDescent="0.3">
      <c r="A29" s="567"/>
      <c r="B29" s="345" t="s">
        <v>46</v>
      </c>
      <c r="C29" s="345" t="s">
        <v>47</v>
      </c>
      <c r="D29" s="345" t="s">
        <v>48</v>
      </c>
      <c r="E29" s="345" t="s">
        <v>49</v>
      </c>
      <c r="F29" s="345" t="s">
        <v>50</v>
      </c>
      <c r="G29" s="345" t="s">
        <v>766</v>
      </c>
      <c r="H29" s="345" t="s">
        <v>51</v>
      </c>
      <c r="I29" s="345" t="s">
        <v>52</v>
      </c>
    </row>
    <row r="30" spans="1:22" ht="16.5" x14ac:dyDescent="0.3">
      <c r="A30" s="64" t="s">
        <v>53</v>
      </c>
      <c r="B30" s="35" t="e">
        <f t="shared" ref="B30:I34" si="2">((B12*B21)*365)/1000/$B$7</f>
        <v>#DIV/0!</v>
      </c>
      <c r="C30" s="35" t="e">
        <f t="shared" si="2"/>
        <v>#DIV/0!</v>
      </c>
      <c r="D30" s="35" t="e">
        <f t="shared" si="2"/>
        <v>#DIV/0!</v>
      </c>
      <c r="E30" s="35" t="e">
        <f t="shared" si="2"/>
        <v>#DIV/0!</v>
      </c>
      <c r="F30" s="35" t="e">
        <f t="shared" si="2"/>
        <v>#DIV/0!</v>
      </c>
      <c r="G30" s="35" t="e">
        <f t="shared" si="2"/>
        <v>#DIV/0!</v>
      </c>
      <c r="H30" s="35" t="e">
        <f t="shared" si="2"/>
        <v>#DIV/0!</v>
      </c>
      <c r="I30" s="35" t="e">
        <f t="shared" si="2"/>
        <v>#DIV/0!</v>
      </c>
    </row>
    <row r="31" spans="1:22" ht="16.5" x14ac:dyDescent="0.3">
      <c r="A31" s="64" t="s">
        <v>54</v>
      </c>
      <c r="B31" s="35" t="e">
        <f t="shared" si="2"/>
        <v>#DIV/0!</v>
      </c>
      <c r="C31" s="35" t="e">
        <f t="shared" si="2"/>
        <v>#DIV/0!</v>
      </c>
      <c r="D31" s="35" t="e">
        <f t="shared" si="2"/>
        <v>#DIV/0!</v>
      </c>
      <c r="E31" s="35" t="e">
        <f t="shared" si="2"/>
        <v>#DIV/0!</v>
      </c>
      <c r="F31" s="35" t="e">
        <f t="shared" si="2"/>
        <v>#DIV/0!</v>
      </c>
      <c r="G31" s="35" t="e">
        <f t="shared" si="2"/>
        <v>#DIV/0!</v>
      </c>
      <c r="H31" s="35" t="e">
        <f t="shared" si="2"/>
        <v>#DIV/0!</v>
      </c>
      <c r="I31" s="35" t="e">
        <f t="shared" si="2"/>
        <v>#DIV/0!</v>
      </c>
    </row>
    <row r="32" spans="1:22" ht="16.5" x14ac:dyDescent="0.3">
      <c r="A32" s="64" t="s">
        <v>55</v>
      </c>
      <c r="B32" s="35" t="e">
        <f t="shared" si="2"/>
        <v>#DIV/0!</v>
      </c>
      <c r="C32" s="35" t="e">
        <f t="shared" si="2"/>
        <v>#DIV/0!</v>
      </c>
      <c r="D32" s="35" t="e">
        <f t="shared" si="2"/>
        <v>#DIV/0!</v>
      </c>
      <c r="E32" s="35" t="e">
        <f t="shared" si="2"/>
        <v>#DIV/0!</v>
      </c>
      <c r="F32" s="35" t="e">
        <f t="shared" si="2"/>
        <v>#DIV/0!</v>
      </c>
      <c r="G32" s="35" t="e">
        <f t="shared" si="2"/>
        <v>#DIV/0!</v>
      </c>
      <c r="H32" s="35" t="e">
        <f t="shared" si="2"/>
        <v>#DIV/0!</v>
      </c>
      <c r="I32" s="35" t="e">
        <f t="shared" si="2"/>
        <v>#DIV/0!</v>
      </c>
    </row>
    <row r="33" spans="1:20" ht="16.5" x14ac:dyDescent="0.3">
      <c r="A33" s="64" t="s">
        <v>56</v>
      </c>
      <c r="B33" s="35" t="e">
        <f t="shared" si="2"/>
        <v>#DIV/0!</v>
      </c>
      <c r="C33" s="35" t="e">
        <f t="shared" si="2"/>
        <v>#DIV/0!</v>
      </c>
      <c r="D33" s="35" t="e">
        <f t="shared" si="2"/>
        <v>#DIV/0!</v>
      </c>
      <c r="E33" s="35" t="e">
        <f t="shared" si="2"/>
        <v>#DIV/0!</v>
      </c>
      <c r="F33" s="35" t="e">
        <f t="shared" si="2"/>
        <v>#DIV/0!</v>
      </c>
      <c r="G33" s="35" t="e">
        <f t="shared" si="2"/>
        <v>#DIV/0!</v>
      </c>
      <c r="H33" s="35" t="e">
        <f t="shared" si="2"/>
        <v>#DIV/0!</v>
      </c>
      <c r="I33" s="35" t="e">
        <f t="shared" si="2"/>
        <v>#DIV/0!</v>
      </c>
    </row>
    <row r="34" spans="1:20" ht="16.5" x14ac:dyDescent="0.3">
      <c r="A34" s="64" t="s">
        <v>57</v>
      </c>
      <c r="B34" s="35" t="e">
        <f t="shared" si="2"/>
        <v>#DIV/0!</v>
      </c>
      <c r="C34" s="35" t="e">
        <f t="shared" si="2"/>
        <v>#DIV/0!</v>
      </c>
      <c r="D34" s="35" t="e">
        <f t="shared" si="2"/>
        <v>#DIV/0!</v>
      </c>
      <c r="E34" s="35" t="e">
        <f t="shared" si="2"/>
        <v>#DIV/0!</v>
      </c>
      <c r="F34" s="35" t="e">
        <f t="shared" si="2"/>
        <v>#DIV/0!</v>
      </c>
      <c r="G34" s="35" t="e">
        <f t="shared" si="2"/>
        <v>#DIV/0!</v>
      </c>
      <c r="H34" s="35" t="e">
        <f t="shared" si="2"/>
        <v>#DIV/0!</v>
      </c>
      <c r="I34" s="35" t="e">
        <f t="shared" si="2"/>
        <v>#DIV/0!</v>
      </c>
    </row>
    <row r="36" spans="1:20" ht="16.5" x14ac:dyDescent="0.3">
      <c r="A36" s="559" t="s">
        <v>66</v>
      </c>
      <c r="B36" s="559"/>
      <c r="C36" s="559"/>
      <c r="D36" s="4"/>
      <c r="E36" s="3"/>
      <c r="F36" s="3"/>
      <c r="G36" s="3"/>
      <c r="H36" s="4"/>
      <c r="I36" s="3"/>
      <c r="J36" s="3"/>
      <c r="K36" s="3"/>
      <c r="L36" s="3"/>
      <c r="M36" s="3"/>
    </row>
    <row r="37" spans="1:20" ht="16.5" x14ac:dyDescent="0.3">
      <c r="B37" s="342" t="s">
        <v>67</v>
      </c>
      <c r="C37" s="342" t="s">
        <v>68</v>
      </c>
      <c r="D37" s="343" t="s">
        <v>69</v>
      </c>
      <c r="E37" s="342" t="s">
        <v>70</v>
      </c>
      <c r="F37" s="342" t="s">
        <v>71</v>
      </c>
      <c r="G37" s="342" t="s">
        <v>72</v>
      </c>
      <c r="H37" s="342" t="s">
        <v>73</v>
      </c>
      <c r="I37" s="342" t="s">
        <v>74</v>
      </c>
      <c r="J37" s="342" t="s">
        <v>147</v>
      </c>
      <c r="K37" s="342" t="s">
        <v>76</v>
      </c>
      <c r="L37" s="342" t="s">
        <v>77</v>
      </c>
      <c r="M37" s="342" t="s">
        <v>78</v>
      </c>
    </row>
    <row r="38" spans="1:20" ht="16.5" x14ac:dyDescent="0.3">
      <c r="A38" s="397" t="s">
        <v>79</v>
      </c>
      <c r="B38" s="348" t="s">
        <v>80</v>
      </c>
      <c r="C38" s="348" t="s">
        <v>81</v>
      </c>
      <c r="D38" s="348" t="s">
        <v>82</v>
      </c>
      <c r="E38" s="348" t="s">
        <v>83</v>
      </c>
      <c r="F38" s="348" t="s">
        <v>84</v>
      </c>
      <c r="G38" s="348" t="s">
        <v>85</v>
      </c>
      <c r="H38" s="348" t="s">
        <v>86</v>
      </c>
      <c r="I38" s="348" t="s">
        <v>87</v>
      </c>
      <c r="J38" s="348" t="s">
        <v>88</v>
      </c>
      <c r="K38" s="348" t="s">
        <v>89</v>
      </c>
      <c r="L38" s="348" t="s">
        <v>90</v>
      </c>
      <c r="M38" s="348" t="s">
        <v>91</v>
      </c>
    </row>
    <row r="39" spans="1:20" ht="16.5" customHeight="1" x14ac:dyDescent="0.3">
      <c r="A39" s="64" t="s">
        <v>761</v>
      </c>
      <c r="B39" s="18">
        <v>0</v>
      </c>
      <c r="C39" s="18">
        <v>0</v>
      </c>
      <c r="D39" s="18">
        <v>2.36</v>
      </c>
      <c r="E39" s="18">
        <v>14.53</v>
      </c>
      <c r="F39" s="18">
        <v>39.270000000000003</v>
      </c>
      <c r="G39" s="18">
        <v>30.33</v>
      </c>
      <c r="H39" s="18">
        <v>10.19</v>
      </c>
      <c r="I39" s="18">
        <v>3.32</v>
      </c>
      <c r="J39" s="18">
        <v>0</v>
      </c>
      <c r="K39" s="18">
        <v>0</v>
      </c>
      <c r="L39" s="18">
        <v>0</v>
      </c>
      <c r="M39" s="18">
        <v>0</v>
      </c>
      <c r="N39" s="3" t="s">
        <v>769</v>
      </c>
      <c r="O39" s="3"/>
      <c r="P39" s="42"/>
      <c r="Q39" s="42"/>
      <c r="R39" s="42"/>
      <c r="S39" s="42"/>
      <c r="T39" s="42"/>
    </row>
    <row r="40" spans="1:20" ht="16.5" x14ac:dyDescent="0.3">
      <c r="A40" s="64" t="s">
        <v>762</v>
      </c>
      <c r="B40" s="18">
        <v>0</v>
      </c>
      <c r="C40" s="18">
        <v>0.36</v>
      </c>
      <c r="D40" s="18">
        <v>3.27</v>
      </c>
      <c r="E40" s="18">
        <v>19.940000000000001</v>
      </c>
      <c r="F40" s="18">
        <v>37.15</v>
      </c>
      <c r="G40" s="18">
        <v>21.03</v>
      </c>
      <c r="H40" s="18">
        <v>13.52</v>
      </c>
      <c r="I40" s="18">
        <v>4.12</v>
      </c>
      <c r="J40" s="18">
        <v>0.6</v>
      </c>
      <c r="K40" s="18">
        <v>0</v>
      </c>
      <c r="L40" s="18">
        <v>0</v>
      </c>
      <c r="M40" s="18">
        <v>0</v>
      </c>
      <c r="N40" s="3" t="s">
        <v>769</v>
      </c>
      <c r="O40" s="3"/>
      <c r="P40" s="42"/>
      <c r="Q40" s="42"/>
      <c r="R40" s="42"/>
      <c r="S40" s="42"/>
      <c r="T40" s="42"/>
    </row>
    <row r="41" spans="1:20" ht="16.5" x14ac:dyDescent="0.3">
      <c r="A41" s="64" t="s">
        <v>763</v>
      </c>
      <c r="B41" s="18">
        <v>0</v>
      </c>
      <c r="C41" s="18">
        <v>0</v>
      </c>
      <c r="D41" s="18">
        <v>2.17</v>
      </c>
      <c r="E41" s="18">
        <v>8.16</v>
      </c>
      <c r="F41" s="18">
        <v>15.99</v>
      </c>
      <c r="G41" s="18">
        <v>23.05</v>
      </c>
      <c r="H41" s="18">
        <v>15.24</v>
      </c>
      <c r="I41" s="18">
        <v>14.05</v>
      </c>
      <c r="J41" s="18">
        <v>21.34</v>
      </c>
      <c r="K41" s="18">
        <v>0</v>
      </c>
      <c r="L41" s="18">
        <v>0</v>
      </c>
      <c r="M41" s="18">
        <v>0</v>
      </c>
      <c r="N41" s="3" t="s">
        <v>769</v>
      </c>
      <c r="O41" s="3"/>
      <c r="P41" s="42"/>
      <c r="Q41" s="42"/>
      <c r="R41" s="42"/>
      <c r="S41" s="42"/>
      <c r="T41" s="42"/>
    </row>
    <row r="42" spans="1:20" ht="16.5" x14ac:dyDescent="0.3">
      <c r="A42" s="64" t="s">
        <v>764</v>
      </c>
      <c r="B42" s="18">
        <v>0</v>
      </c>
      <c r="C42" s="18">
        <v>1.4</v>
      </c>
      <c r="D42" s="18">
        <v>7</v>
      </c>
      <c r="E42" s="18">
        <v>13.02</v>
      </c>
      <c r="F42" s="18">
        <v>19.25</v>
      </c>
      <c r="G42" s="18">
        <v>15.06</v>
      </c>
      <c r="H42" s="18">
        <v>11.06</v>
      </c>
      <c r="I42" s="18">
        <v>16.75</v>
      </c>
      <c r="J42" s="18">
        <v>16.45</v>
      </c>
      <c r="K42" s="18">
        <v>0</v>
      </c>
      <c r="L42" s="18">
        <v>0</v>
      </c>
      <c r="M42" s="18">
        <v>0</v>
      </c>
      <c r="N42" s="3" t="s">
        <v>769</v>
      </c>
      <c r="O42" s="3"/>
      <c r="P42" s="42"/>
      <c r="Q42" s="42"/>
      <c r="R42" s="42"/>
      <c r="S42" s="42"/>
      <c r="T42" s="42"/>
    </row>
    <row r="43" spans="1:20" ht="16.5" x14ac:dyDescent="0.3">
      <c r="A43" s="64" t="s">
        <v>765</v>
      </c>
      <c r="B43" s="18">
        <v>0</v>
      </c>
      <c r="C43" s="18">
        <v>1.68</v>
      </c>
      <c r="D43" s="18">
        <v>7.6</v>
      </c>
      <c r="E43" s="18">
        <v>9.4600000000000009</v>
      </c>
      <c r="F43" s="18">
        <v>15.74</v>
      </c>
      <c r="G43" s="18">
        <v>23.93</v>
      </c>
      <c r="H43" s="18">
        <v>12.93</v>
      </c>
      <c r="I43" s="18">
        <v>13.54</v>
      </c>
      <c r="J43" s="18">
        <v>15.11</v>
      </c>
      <c r="K43" s="18">
        <v>0</v>
      </c>
      <c r="L43" s="18">
        <v>0</v>
      </c>
      <c r="M43" s="18">
        <v>0</v>
      </c>
      <c r="N43" s="3" t="s">
        <v>769</v>
      </c>
      <c r="O43" s="3"/>
      <c r="P43" s="42"/>
      <c r="Q43" s="42"/>
      <c r="R43" s="42"/>
      <c r="S43" s="42"/>
      <c r="T43" s="42"/>
    </row>
    <row r="44" spans="1:20" ht="16.5" x14ac:dyDescent="0.3">
      <c r="A44" s="64" t="s">
        <v>755</v>
      </c>
      <c r="B44" s="18">
        <v>0</v>
      </c>
      <c r="C44" s="18">
        <v>0</v>
      </c>
      <c r="D44" s="18">
        <v>0</v>
      </c>
      <c r="E44" s="18">
        <v>16.57</v>
      </c>
      <c r="F44" s="18">
        <v>51.15</v>
      </c>
      <c r="G44" s="18">
        <v>23.48</v>
      </c>
      <c r="H44" s="18">
        <v>8.8000000000000007</v>
      </c>
      <c r="I44" s="18">
        <v>0</v>
      </c>
      <c r="J44" s="18">
        <v>0</v>
      </c>
      <c r="K44" s="18">
        <v>0</v>
      </c>
      <c r="L44" s="18">
        <v>0</v>
      </c>
      <c r="M44" s="18">
        <v>0</v>
      </c>
      <c r="N44" s="3" t="s">
        <v>769</v>
      </c>
      <c r="O44" s="3"/>
      <c r="P44" s="42"/>
      <c r="Q44" s="42"/>
      <c r="R44" s="42"/>
      <c r="S44" s="42"/>
      <c r="T44" s="42"/>
    </row>
    <row r="45" spans="1:20" ht="16.5" x14ac:dyDescent="0.3">
      <c r="A45" s="64" t="s">
        <v>756</v>
      </c>
      <c r="B45" s="18">
        <v>0</v>
      </c>
      <c r="C45" s="18">
        <v>0</v>
      </c>
      <c r="D45" s="18">
        <v>0.61</v>
      </c>
      <c r="E45" s="18">
        <v>22.68</v>
      </c>
      <c r="F45" s="18">
        <v>42.82</v>
      </c>
      <c r="G45" s="18">
        <v>22.8</v>
      </c>
      <c r="H45" s="18">
        <v>8.6</v>
      </c>
      <c r="I45" s="18">
        <v>2.5</v>
      </c>
      <c r="J45" s="18">
        <v>0</v>
      </c>
      <c r="K45" s="18">
        <v>0</v>
      </c>
      <c r="L45" s="18">
        <v>0</v>
      </c>
      <c r="M45" s="18">
        <v>0</v>
      </c>
      <c r="N45" s="3" t="s">
        <v>769</v>
      </c>
      <c r="O45" s="3"/>
      <c r="P45" s="42"/>
      <c r="Q45" s="42"/>
      <c r="R45" s="42"/>
      <c r="S45" s="42"/>
      <c r="T45" s="42"/>
    </row>
    <row r="46" spans="1:20" ht="16.5" x14ac:dyDescent="0.3">
      <c r="A46" s="64" t="s">
        <v>757</v>
      </c>
      <c r="B46" s="18">
        <v>0</v>
      </c>
      <c r="C46" s="18">
        <v>0</v>
      </c>
      <c r="D46" s="18">
        <v>2.5499999999999998</v>
      </c>
      <c r="E46" s="18">
        <v>35.01</v>
      </c>
      <c r="F46" s="18">
        <v>35.450000000000003</v>
      </c>
      <c r="G46" s="18">
        <v>15.99</v>
      </c>
      <c r="H46" s="18">
        <v>10.81</v>
      </c>
      <c r="I46" s="18">
        <v>0.18</v>
      </c>
      <c r="J46" s="18">
        <v>0</v>
      </c>
      <c r="K46" s="18">
        <v>0</v>
      </c>
      <c r="L46" s="18">
        <v>0</v>
      </c>
      <c r="M46" s="18">
        <v>0</v>
      </c>
      <c r="N46" s="3" t="s">
        <v>769</v>
      </c>
      <c r="O46" s="3"/>
      <c r="P46" s="42"/>
      <c r="Q46" s="42"/>
      <c r="R46" s="42"/>
      <c r="S46" s="42"/>
      <c r="T46" s="42"/>
    </row>
    <row r="47" spans="1:20" ht="16.5" x14ac:dyDescent="0.3">
      <c r="A47" s="64" t="s">
        <v>758</v>
      </c>
      <c r="B47" s="18">
        <v>0</v>
      </c>
      <c r="C47" s="18">
        <v>0</v>
      </c>
      <c r="D47" s="18">
        <v>24.52</v>
      </c>
      <c r="E47" s="18">
        <v>33.65</v>
      </c>
      <c r="F47" s="18">
        <v>23.27</v>
      </c>
      <c r="G47" s="18">
        <v>12.44</v>
      </c>
      <c r="H47" s="18">
        <v>5.13</v>
      </c>
      <c r="I47" s="18">
        <v>0.99</v>
      </c>
      <c r="J47" s="18">
        <v>0</v>
      </c>
      <c r="K47" s="18">
        <v>0</v>
      </c>
      <c r="L47" s="18">
        <v>0</v>
      </c>
      <c r="M47" s="18">
        <v>0</v>
      </c>
      <c r="N47" s="3" t="s">
        <v>769</v>
      </c>
      <c r="O47" s="3"/>
      <c r="P47" s="42"/>
      <c r="Q47" s="42"/>
      <c r="R47" s="42"/>
      <c r="S47" s="42"/>
      <c r="T47" s="42"/>
    </row>
    <row r="48" spans="1:20" ht="16.5" x14ac:dyDescent="0.3">
      <c r="A48" s="64" t="s">
        <v>759</v>
      </c>
      <c r="B48" s="18">
        <v>0</v>
      </c>
      <c r="C48" s="18">
        <v>9.1</v>
      </c>
      <c r="D48" s="18">
        <v>48.16</v>
      </c>
      <c r="E48" s="18">
        <v>18.350000000000001</v>
      </c>
      <c r="F48" s="18">
        <v>10.68</v>
      </c>
      <c r="G48" s="18">
        <v>7.92</v>
      </c>
      <c r="H48" s="18">
        <v>4.47</v>
      </c>
      <c r="I48" s="18">
        <v>1.29</v>
      </c>
      <c r="J48" s="18">
        <v>0.02</v>
      </c>
      <c r="K48" s="18">
        <v>0</v>
      </c>
      <c r="L48" s="18">
        <v>0</v>
      </c>
      <c r="M48" s="18">
        <v>0</v>
      </c>
      <c r="N48" s="3" t="s">
        <v>769</v>
      </c>
      <c r="O48" s="3"/>
      <c r="P48" s="42"/>
      <c r="Q48" s="42"/>
      <c r="R48" s="42"/>
      <c r="S48" s="42"/>
      <c r="T48" s="42"/>
    </row>
    <row r="49" spans="1:17" ht="16.5" x14ac:dyDescent="0.3">
      <c r="A49" s="64" t="s">
        <v>760</v>
      </c>
      <c r="B49" s="18">
        <v>0</v>
      </c>
      <c r="C49" s="18">
        <v>0</v>
      </c>
      <c r="D49" s="18">
        <v>0</v>
      </c>
      <c r="E49" s="18">
        <v>0.05</v>
      </c>
      <c r="F49" s="18">
        <v>0.31</v>
      </c>
      <c r="G49" s="18">
        <v>0.42</v>
      </c>
      <c r="H49" s="18">
        <v>0.22</v>
      </c>
      <c r="I49" s="18">
        <v>0</v>
      </c>
      <c r="J49" s="18">
        <v>0</v>
      </c>
      <c r="K49" s="18">
        <v>0</v>
      </c>
      <c r="L49" s="18">
        <v>0</v>
      </c>
      <c r="M49" s="18">
        <v>0</v>
      </c>
      <c r="N49" s="3" t="s">
        <v>769</v>
      </c>
      <c r="O49" s="3"/>
      <c r="P49" s="3"/>
      <c r="Q49" s="3"/>
    </row>
    <row r="50" spans="1:17" ht="16.5" x14ac:dyDescent="0.3">
      <c r="A50" s="8" t="s">
        <v>92</v>
      </c>
      <c r="B50" s="18">
        <f t="shared" ref="B50:M50" si="3">AVERAGE(B39:B49)</f>
        <v>0</v>
      </c>
      <c r="C50" s="18">
        <f t="shared" si="3"/>
        <v>1.1399999999999999</v>
      </c>
      <c r="D50" s="18">
        <f t="shared" si="3"/>
        <v>8.9309090909090898</v>
      </c>
      <c r="E50" s="18">
        <f t="shared" si="3"/>
        <v>17.401818181818182</v>
      </c>
      <c r="F50" s="18">
        <f t="shared" si="3"/>
        <v>26.461818181818181</v>
      </c>
      <c r="G50" s="18">
        <f t="shared" si="3"/>
        <v>17.859090909090909</v>
      </c>
      <c r="H50" s="18">
        <f t="shared" si="3"/>
        <v>9.1790909090909096</v>
      </c>
      <c r="I50" s="18">
        <f t="shared" si="3"/>
        <v>5.1581818181818182</v>
      </c>
      <c r="J50" s="18">
        <f t="shared" si="3"/>
        <v>4.8654545454545461</v>
      </c>
      <c r="K50" s="18">
        <f t="shared" si="3"/>
        <v>0</v>
      </c>
      <c r="L50" s="18">
        <f t="shared" si="3"/>
        <v>0</v>
      </c>
      <c r="M50" s="18">
        <f t="shared" si="3"/>
        <v>0</v>
      </c>
      <c r="N50" s="3" t="s">
        <v>93</v>
      </c>
      <c r="O50" s="3"/>
      <c r="P50" s="3"/>
      <c r="Q50" s="3"/>
    </row>
    <row r="52" spans="1:17" ht="18" x14ac:dyDescent="0.3">
      <c r="A52" s="565" t="s">
        <v>94</v>
      </c>
      <c r="B52" s="565"/>
      <c r="C52" s="565"/>
      <c r="D52" s="565"/>
      <c r="E52" s="88"/>
      <c r="F52" s="3"/>
      <c r="G52" s="3"/>
      <c r="H52" s="4"/>
      <c r="I52" s="3"/>
      <c r="J52" s="3"/>
      <c r="K52" s="3"/>
      <c r="L52" s="3"/>
      <c r="M52" s="3"/>
    </row>
    <row r="53" spans="1:17" ht="16.5" x14ac:dyDescent="0.3">
      <c r="B53" s="342" t="s">
        <v>95</v>
      </c>
      <c r="C53" s="342" t="s">
        <v>68</v>
      </c>
      <c r="D53" s="343" t="s">
        <v>69</v>
      </c>
      <c r="E53" s="342" t="s">
        <v>70</v>
      </c>
      <c r="F53" s="342" t="s">
        <v>71</v>
      </c>
      <c r="G53" s="342" t="s">
        <v>72</v>
      </c>
      <c r="H53" s="342" t="s">
        <v>73</v>
      </c>
      <c r="I53" s="342" t="s">
        <v>74</v>
      </c>
      <c r="J53" s="342" t="s">
        <v>147</v>
      </c>
      <c r="K53" s="342" t="s">
        <v>76</v>
      </c>
      <c r="L53" s="342" t="s">
        <v>77</v>
      </c>
      <c r="M53" s="342" t="s">
        <v>78</v>
      </c>
    </row>
    <row r="54" spans="1:17" ht="16.5" x14ac:dyDescent="0.3">
      <c r="A54" s="342" t="s">
        <v>44</v>
      </c>
      <c r="B54" s="348" t="s">
        <v>80</v>
      </c>
      <c r="C54" s="348" t="s">
        <v>81</v>
      </c>
      <c r="D54" s="348" t="s">
        <v>82</v>
      </c>
      <c r="E54" s="348" t="s">
        <v>83</v>
      </c>
      <c r="F54" s="348" t="s">
        <v>84</v>
      </c>
      <c r="G54" s="348" t="s">
        <v>85</v>
      </c>
      <c r="H54" s="348" t="s">
        <v>86</v>
      </c>
      <c r="I54" s="348" t="s">
        <v>87</v>
      </c>
      <c r="J54" s="348" t="s">
        <v>88</v>
      </c>
      <c r="K54" s="348" t="s">
        <v>89</v>
      </c>
      <c r="L54" s="348" t="s">
        <v>90</v>
      </c>
      <c r="M54" s="348" t="s">
        <v>91</v>
      </c>
      <c r="N54" s="3" t="s">
        <v>61</v>
      </c>
    </row>
    <row r="55" spans="1:17" ht="16.5" x14ac:dyDescent="0.3">
      <c r="A55" s="362" t="s">
        <v>53</v>
      </c>
      <c r="B55" s="3"/>
      <c r="C55" s="3"/>
      <c r="D55" s="3"/>
      <c r="E55" s="3"/>
      <c r="F55" s="3"/>
      <c r="G55" s="3"/>
      <c r="H55" s="4"/>
      <c r="I55" s="3"/>
      <c r="J55" s="3"/>
      <c r="K55" s="3"/>
      <c r="L55" s="3"/>
      <c r="M55" s="3"/>
    </row>
    <row r="56" spans="1:17" ht="16.5" x14ac:dyDescent="0.3">
      <c r="A56" s="360" t="s">
        <v>101</v>
      </c>
      <c r="B56" s="363" t="e">
        <f>($B$30*B39)/100</f>
        <v>#DIV/0!</v>
      </c>
      <c r="C56" s="292" t="e">
        <f>($B$30*C39)/100</f>
        <v>#DIV/0!</v>
      </c>
      <c r="D56" s="292" t="e">
        <f t="shared" ref="D56:M56" si="4">($B$30*D39)/100</f>
        <v>#DIV/0!</v>
      </c>
      <c r="E56" s="292" t="e">
        <f t="shared" si="4"/>
        <v>#DIV/0!</v>
      </c>
      <c r="F56" s="292" t="e">
        <f t="shared" si="4"/>
        <v>#DIV/0!</v>
      </c>
      <c r="G56" s="292" t="e">
        <f t="shared" si="4"/>
        <v>#DIV/0!</v>
      </c>
      <c r="H56" s="292" t="e">
        <f t="shared" si="4"/>
        <v>#DIV/0!</v>
      </c>
      <c r="I56" s="292" t="e">
        <f>($B$30*I39)/100</f>
        <v>#DIV/0!</v>
      </c>
      <c r="J56" s="292" t="e">
        <f t="shared" si="4"/>
        <v>#DIV/0!</v>
      </c>
      <c r="K56" s="292" t="e">
        <f t="shared" si="4"/>
        <v>#DIV/0!</v>
      </c>
      <c r="L56" s="292" t="e">
        <f t="shared" si="4"/>
        <v>#DIV/0!</v>
      </c>
      <c r="M56" s="292" t="e">
        <f t="shared" si="4"/>
        <v>#DIV/0!</v>
      </c>
      <c r="N56" s="3"/>
    </row>
    <row r="57" spans="1:17" ht="16.5" x14ac:dyDescent="0.3">
      <c r="A57" s="360" t="s">
        <v>96</v>
      </c>
      <c r="B57" s="363" t="e">
        <f>($C$30*B40)/100</f>
        <v>#DIV/0!</v>
      </c>
      <c r="C57" s="292" t="e">
        <f t="shared" ref="C57:M57" si="5">($C$30*C40)/100</f>
        <v>#DIV/0!</v>
      </c>
      <c r="D57" s="292" t="e">
        <f t="shared" si="5"/>
        <v>#DIV/0!</v>
      </c>
      <c r="E57" s="292" t="e">
        <f t="shared" si="5"/>
        <v>#DIV/0!</v>
      </c>
      <c r="F57" s="292" t="e">
        <f t="shared" si="5"/>
        <v>#DIV/0!</v>
      </c>
      <c r="G57" s="292" t="e">
        <f t="shared" si="5"/>
        <v>#DIV/0!</v>
      </c>
      <c r="H57" s="292" t="e">
        <f t="shared" si="5"/>
        <v>#DIV/0!</v>
      </c>
      <c r="I57" s="292" t="e">
        <f t="shared" si="5"/>
        <v>#DIV/0!</v>
      </c>
      <c r="J57" s="292" t="e">
        <f t="shared" si="5"/>
        <v>#DIV/0!</v>
      </c>
      <c r="K57" s="292" t="e">
        <f t="shared" si="5"/>
        <v>#DIV/0!</v>
      </c>
      <c r="L57" s="292" t="e">
        <f t="shared" si="5"/>
        <v>#DIV/0!</v>
      </c>
      <c r="M57" s="292" t="e">
        <f t="shared" si="5"/>
        <v>#DIV/0!</v>
      </c>
      <c r="N57" s="3"/>
    </row>
    <row r="58" spans="1:17" ht="16.5" x14ac:dyDescent="0.3">
      <c r="A58" s="360" t="s">
        <v>97</v>
      </c>
      <c r="B58" s="363" t="e">
        <f>($D$30*B41)/100</f>
        <v>#DIV/0!</v>
      </c>
      <c r="C58" s="292" t="e">
        <f t="shared" ref="C58:M58" si="6">($D$30*C41)/100</f>
        <v>#DIV/0!</v>
      </c>
      <c r="D58" s="292" t="e">
        <f t="shared" si="6"/>
        <v>#DIV/0!</v>
      </c>
      <c r="E58" s="292" t="e">
        <f t="shared" si="6"/>
        <v>#DIV/0!</v>
      </c>
      <c r="F58" s="292" t="e">
        <f t="shared" si="6"/>
        <v>#DIV/0!</v>
      </c>
      <c r="G58" s="292" t="e">
        <f t="shared" si="6"/>
        <v>#DIV/0!</v>
      </c>
      <c r="H58" s="292" t="e">
        <f t="shared" si="6"/>
        <v>#DIV/0!</v>
      </c>
      <c r="I58" s="292" t="e">
        <f t="shared" si="6"/>
        <v>#DIV/0!</v>
      </c>
      <c r="J58" s="292" t="e">
        <f>($D$30*J41)/100</f>
        <v>#DIV/0!</v>
      </c>
      <c r="K58" s="292" t="e">
        <f t="shared" si="6"/>
        <v>#DIV/0!</v>
      </c>
      <c r="L58" s="292" t="e">
        <f t="shared" si="6"/>
        <v>#DIV/0!</v>
      </c>
      <c r="M58" s="292" t="e">
        <f t="shared" si="6"/>
        <v>#DIV/0!</v>
      </c>
      <c r="N58" s="3"/>
    </row>
    <row r="59" spans="1:17" ht="16.5" x14ac:dyDescent="0.3">
      <c r="A59" s="360" t="s">
        <v>98</v>
      </c>
      <c r="B59" s="363" t="e">
        <f>($E$30*B42)/100</f>
        <v>#DIV/0!</v>
      </c>
      <c r="C59" s="292" t="e">
        <f t="shared" ref="C59:M59" si="7">($E$30*C42)/100</f>
        <v>#DIV/0!</v>
      </c>
      <c r="D59" s="292" t="e">
        <f t="shared" si="7"/>
        <v>#DIV/0!</v>
      </c>
      <c r="E59" s="292" t="e">
        <f t="shared" si="7"/>
        <v>#DIV/0!</v>
      </c>
      <c r="F59" s="292" t="e">
        <f t="shared" si="7"/>
        <v>#DIV/0!</v>
      </c>
      <c r="G59" s="292" t="e">
        <f t="shared" si="7"/>
        <v>#DIV/0!</v>
      </c>
      <c r="H59" s="292" t="e">
        <f t="shared" si="7"/>
        <v>#DIV/0!</v>
      </c>
      <c r="I59" s="292" t="e">
        <f t="shared" si="7"/>
        <v>#DIV/0!</v>
      </c>
      <c r="J59" s="292" t="e">
        <f t="shared" si="7"/>
        <v>#DIV/0!</v>
      </c>
      <c r="K59" s="292" t="e">
        <f t="shared" si="7"/>
        <v>#DIV/0!</v>
      </c>
      <c r="L59" s="292" t="e">
        <f t="shared" si="7"/>
        <v>#DIV/0!</v>
      </c>
      <c r="M59" s="292" t="e">
        <f t="shared" si="7"/>
        <v>#DIV/0!</v>
      </c>
      <c r="N59" s="3"/>
    </row>
    <row r="60" spans="1:17" ht="16.5" x14ac:dyDescent="0.3">
      <c r="A60" s="360" t="s">
        <v>99</v>
      </c>
      <c r="B60" s="363" t="e">
        <f>($F$30*B43)/100</f>
        <v>#DIV/0!</v>
      </c>
      <c r="C60" s="292" t="e">
        <f t="shared" ref="C60:M60" si="8">($F$30*C43)/100</f>
        <v>#DIV/0!</v>
      </c>
      <c r="D60" s="292" t="e">
        <f t="shared" si="8"/>
        <v>#DIV/0!</v>
      </c>
      <c r="E60" s="292" t="e">
        <f t="shared" si="8"/>
        <v>#DIV/0!</v>
      </c>
      <c r="F60" s="292" t="e">
        <f t="shared" si="8"/>
        <v>#DIV/0!</v>
      </c>
      <c r="G60" s="292" t="e">
        <f t="shared" si="8"/>
        <v>#DIV/0!</v>
      </c>
      <c r="H60" s="292" t="e">
        <f t="shared" si="8"/>
        <v>#DIV/0!</v>
      </c>
      <c r="I60" s="292" t="e">
        <f t="shared" si="8"/>
        <v>#DIV/0!</v>
      </c>
      <c r="J60" s="292" t="e">
        <f t="shared" si="8"/>
        <v>#DIV/0!</v>
      </c>
      <c r="K60" s="292" t="e">
        <f t="shared" si="8"/>
        <v>#DIV/0!</v>
      </c>
      <c r="L60" s="292" t="e">
        <f t="shared" si="8"/>
        <v>#DIV/0!</v>
      </c>
      <c r="M60" s="292" t="e">
        <f t="shared" si="8"/>
        <v>#DIV/0!</v>
      </c>
      <c r="N60" s="3"/>
    </row>
    <row r="61" spans="1:17" ht="16.5" x14ac:dyDescent="0.3">
      <c r="A61" s="360" t="s">
        <v>767</v>
      </c>
      <c r="B61" s="363" t="e">
        <f>($G$30*B44)/100</f>
        <v>#DIV/0!</v>
      </c>
      <c r="C61" s="292" t="e">
        <f t="shared" ref="C61:M61" si="9">($G$30*C44)/100</f>
        <v>#DIV/0!</v>
      </c>
      <c r="D61" s="292" t="e">
        <f t="shared" si="9"/>
        <v>#DIV/0!</v>
      </c>
      <c r="E61" s="292" t="e">
        <f t="shared" si="9"/>
        <v>#DIV/0!</v>
      </c>
      <c r="F61" s="292" t="e">
        <f t="shared" si="9"/>
        <v>#DIV/0!</v>
      </c>
      <c r="G61" s="292" t="e">
        <f t="shared" si="9"/>
        <v>#DIV/0!</v>
      </c>
      <c r="H61" s="292" t="e">
        <f t="shared" si="9"/>
        <v>#DIV/0!</v>
      </c>
      <c r="I61" s="292" t="e">
        <f t="shared" si="9"/>
        <v>#DIV/0!</v>
      </c>
      <c r="J61" s="292" t="e">
        <f t="shared" si="9"/>
        <v>#DIV/0!</v>
      </c>
      <c r="K61" s="292" t="e">
        <f t="shared" si="9"/>
        <v>#DIV/0!</v>
      </c>
      <c r="L61" s="292" t="e">
        <f t="shared" si="9"/>
        <v>#DIV/0!</v>
      </c>
      <c r="M61" s="292" t="e">
        <f t="shared" si="9"/>
        <v>#DIV/0!</v>
      </c>
      <c r="N61" s="3" t="s">
        <v>768</v>
      </c>
    </row>
    <row r="62" spans="1:17" ht="16.5" x14ac:dyDescent="0.3">
      <c r="A62" s="361" t="s">
        <v>100</v>
      </c>
      <c r="B62" s="364" t="e">
        <f t="shared" ref="B62:M62" si="10">SUM(B56:B61)</f>
        <v>#DIV/0!</v>
      </c>
      <c r="C62" s="293" t="e">
        <f t="shared" si="10"/>
        <v>#DIV/0!</v>
      </c>
      <c r="D62" s="293" t="e">
        <f t="shared" si="10"/>
        <v>#DIV/0!</v>
      </c>
      <c r="E62" s="293" t="e">
        <f t="shared" si="10"/>
        <v>#DIV/0!</v>
      </c>
      <c r="F62" s="293" t="e">
        <f t="shared" si="10"/>
        <v>#DIV/0!</v>
      </c>
      <c r="G62" s="293" t="e">
        <f t="shared" si="10"/>
        <v>#DIV/0!</v>
      </c>
      <c r="H62" s="293" t="e">
        <f t="shared" si="10"/>
        <v>#DIV/0!</v>
      </c>
      <c r="I62" s="293" t="e">
        <f t="shared" si="10"/>
        <v>#DIV/0!</v>
      </c>
      <c r="J62" s="293" t="e">
        <f t="shared" si="10"/>
        <v>#DIV/0!</v>
      </c>
      <c r="K62" s="293" t="e">
        <f t="shared" si="10"/>
        <v>#DIV/0!</v>
      </c>
      <c r="L62" s="293" t="e">
        <f t="shared" si="10"/>
        <v>#DIV/0!</v>
      </c>
      <c r="M62" s="293" t="e">
        <f t="shared" si="10"/>
        <v>#DIV/0!</v>
      </c>
      <c r="N62" s="3"/>
    </row>
    <row r="63" spans="1:17" ht="16.5" x14ac:dyDescent="0.3">
      <c r="A63" s="398"/>
      <c r="B63" s="363"/>
      <c r="C63" s="292"/>
      <c r="D63" s="292"/>
      <c r="E63" s="292"/>
      <c r="F63" s="292"/>
      <c r="G63" s="292"/>
      <c r="H63" s="293"/>
      <c r="I63" s="292"/>
      <c r="J63" s="292"/>
      <c r="K63" s="292"/>
      <c r="L63" s="292"/>
      <c r="M63" s="292"/>
      <c r="N63" s="3"/>
    </row>
    <row r="64" spans="1:17" ht="16.5" x14ac:dyDescent="0.3">
      <c r="A64" s="362" t="s">
        <v>54</v>
      </c>
      <c r="B64" s="363"/>
      <c r="C64" s="292"/>
      <c r="D64" s="292"/>
      <c r="E64" s="292"/>
      <c r="F64" s="292"/>
      <c r="G64" s="292"/>
      <c r="H64" s="292"/>
      <c r="I64" s="292"/>
      <c r="J64" s="292"/>
      <c r="K64" s="292"/>
      <c r="L64" s="292"/>
      <c r="M64" s="292"/>
      <c r="N64" s="3"/>
    </row>
    <row r="65" spans="1:14" ht="16.5" x14ac:dyDescent="0.3">
      <c r="A65" s="360" t="s">
        <v>101</v>
      </c>
      <c r="B65" s="363" t="e">
        <f>($B$31*B44)/100</f>
        <v>#DIV/0!</v>
      </c>
      <c r="C65" s="292" t="e">
        <f t="shared" ref="C65:M65" si="11">($B$31*C44)/100</f>
        <v>#DIV/0!</v>
      </c>
      <c r="D65" s="292" t="e">
        <f t="shared" si="11"/>
        <v>#DIV/0!</v>
      </c>
      <c r="E65" s="292" t="e">
        <f t="shared" si="11"/>
        <v>#DIV/0!</v>
      </c>
      <c r="F65" s="292" t="e">
        <f t="shared" si="11"/>
        <v>#DIV/0!</v>
      </c>
      <c r="G65" s="292" t="e">
        <f t="shared" si="11"/>
        <v>#DIV/0!</v>
      </c>
      <c r="H65" s="292" t="e">
        <f t="shared" si="11"/>
        <v>#DIV/0!</v>
      </c>
      <c r="I65" s="292" t="e">
        <f t="shared" si="11"/>
        <v>#DIV/0!</v>
      </c>
      <c r="J65" s="292" t="e">
        <f t="shared" si="11"/>
        <v>#DIV/0!</v>
      </c>
      <c r="K65" s="292" t="e">
        <f t="shared" si="11"/>
        <v>#DIV/0!</v>
      </c>
      <c r="L65" s="292" t="e">
        <f t="shared" si="11"/>
        <v>#DIV/0!</v>
      </c>
      <c r="M65" s="292" t="e">
        <f t="shared" si="11"/>
        <v>#DIV/0!</v>
      </c>
      <c r="N65" s="3"/>
    </row>
    <row r="66" spans="1:14" ht="16.5" x14ac:dyDescent="0.3">
      <c r="A66" s="360" t="s">
        <v>96</v>
      </c>
      <c r="B66" s="363" t="e">
        <f>($C$31*B45)/100</f>
        <v>#DIV/0!</v>
      </c>
      <c r="C66" s="292" t="e">
        <f t="shared" ref="C66:M66" si="12">($C$31*C45)/100</f>
        <v>#DIV/0!</v>
      </c>
      <c r="D66" s="292" t="e">
        <f t="shared" si="12"/>
        <v>#DIV/0!</v>
      </c>
      <c r="E66" s="292" t="e">
        <f t="shared" si="12"/>
        <v>#DIV/0!</v>
      </c>
      <c r="F66" s="292" t="e">
        <f t="shared" si="12"/>
        <v>#DIV/0!</v>
      </c>
      <c r="G66" s="292" t="e">
        <f t="shared" si="12"/>
        <v>#DIV/0!</v>
      </c>
      <c r="H66" s="292" t="e">
        <f t="shared" si="12"/>
        <v>#DIV/0!</v>
      </c>
      <c r="I66" s="292" t="e">
        <f t="shared" si="12"/>
        <v>#DIV/0!</v>
      </c>
      <c r="J66" s="292" t="e">
        <f t="shared" si="12"/>
        <v>#DIV/0!</v>
      </c>
      <c r="K66" s="292" t="e">
        <f t="shared" si="12"/>
        <v>#DIV/0!</v>
      </c>
      <c r="L66" s="292" t="e">
        <f t="shared" si="12"/>
        <v>#DIV/0!</v>
      </c>
      <c r="M66" s="292" t="e">
        <f t="shared" si="12"/>
        <v>#DIV/0!</v>
      </c>
      <c r="N66" s="3"/>
    </row>
    <row r="67" spans="1:14" ht="16.5" x14ac:dyDescent="0.3">
      <c r="A67" s="360" t="s">
        <v>97</v>
      </c>
      <c r="B67" s="363" t="e">
        <f>($D$31*B46)/100</f>
        <v>#DIV/0!</v>
      </c>
      <c r="C67" s="292" t="e">
        <f t="shared" ref="C67:M67" si="13">($D$31*C46)/100</f>
        <v>#DIV/0!</v>
      </c>
      <c r="D67" s="292" t="e">
        <f t="shared" si="13"/>
        <v>#DIV/0!</v>
      </c>
      <c r="E67" s="292" t="e">
        <f t="shared" si="13"/>
        <v>#DIV/0!</v>
      </c>
      <c r="F67" s="292" t="e">
        <f t="shared" si="13"/>
        <v>#DIV/0!</v>
      </c>
      <c r="G67" s="292" t="e">
        <f t="shared" si="13"/>
        <v>#DIV/0!</v>
      </c>
      <c r="H67" s="292" t="e">
        <f t="shared" si="13"/>
        <v>#DIV/0!</v>
      </c>
      <c r="I67" s="292" t="e">
        <f t="shared" si="13"/>
        <v>#DIV/0!</v>
      </c>
      <c r="J67" s="292" t="e">
        <f t="shared" si="13"/>
        <v>#DIV/0!</v>
      </c>
      <c r="K67" s="292" t="e">
        <f t="shared" si="13"/>
        <v>#DIV/0!</v>
      </c>
      <c r="L67" s="292" t="e">
        <f t="shared" si="13"/>
        <v>#DIV/0!</v>
      </c>
      <c r="M67" s="292" t="e">
        <f t="shared" si="13"/>
        <v>#DIV/0!</v>
      </c>
      <c r="N67" s="3"/>
    </row>
    <row r="68" spans="1:14" ht="16.5" x14ac:dyDescent="0.3">
      <c r="A68" s="360" t="s">
        <v>770</v>
      </c>
      <c r="B68" s="363" t="e">
        <f>($E$31*B46)/100</f>
        <v>#DIV/0!</v>
      </c>
      <c r="C68" s="292" t="e">
        <f t="shared" ref="C68:M68" si="14">($E$31*C46)/100</f>
        <v>#DIV/0!</v>
      </c>
      <c r="D68" s="292" t="e">
        <f t="shared" si="14"/>
        <v>#DIV/0!</v>
      </c>
      <c r="E68" s="292" t="e">
        <f t="shared" si="14"/>
        <v>#DIV/0!</v>
      </c>
      <c r="F68" s="292" t="e">
        <f t="shared" si="14"/>
        <v>#DIV/0!</v>
      </c>
      <c r="G68" s="292" t="e">
        <f t="shared" si="14"/>
        <v>#DIV/0!</v>
      </c>
      <c r="H68" s="292" t="e">
        <f t="shared" si="14"/>
        <v>#DIV/0!</v>
      </c>
      <c r="I68" s="292" t="e">
        <f t="shared" si="14"/>
        <v>#DIV/0!</v>
      </c>
      <c r="J68" s="292" t="e">
        <f t="shared" si="14"/>
        <v>#DIV/0!</v>
      </c>
      <c r="K68" s="292" t="e">
        <f t="shared" si="14"/>
        <v>#DIV/0!</v>
      </c>
      <c r="L68" s="292" t="e">
        <f t="shared" si="14"/>
        <v>#DIV/0!</v>
      </c>
      <c r="M68" s="292" t="e">
        <f t="shared" si="14"/>
        <v>#DIV/0!</v>
      </c>
      <c r="N68" s="3"/>
    </row>
    <row r="69" spans="1:14" ht="16.5" x14ac:dyDescent="0.3">
      <c r="A69" s="361" t="s">
        <v>100</v>
      </c>
      <c r="B69" s="364" t="e">
        <f>SUM(B65:B68)</f>
        <v>#DIV/0!</v>
      </c>
      <c r="C69" s="293" t="e">
        <f t="shared" ref="C69:M69" si="15">SUM(C65:C68)</f>
        <v>#DIV/0!</v>
      </c>
      <c r="D69" s="293" t="e">
        <f t="shared" si="15"/>
        <v>#DIV/0!</v>
      </c>
      <c r="E69" s="293" t="e">
        <f t="shared" si="15"/>
        <v>#DIV/0!</v>
      </c>
      <c r="F69" s="293" t="e">
        <f t="shared" si="15"/>
        <v>#DIV/0!</v>
      </c>
      <c r="G69" s="293" t="e">
        <f t="shared" si="15"/>
        <v>#DIV/0!</v>
      </c>
      <c r="H69" s="293" t="e">
        <f t="shared" si="15"/>
        <v>#DIV/0!</v>
      </c>
      <c r="I69" s="293" t="e">
        <f t="shared" si="15"/>
        <v>#DIV/0!</v>
      </c>
      <c r="J69" s="293" t="e">
        <f t="shared" si="15"/>
        <v>#DIV/0!</v>
      </c>
      <c r="K69" s="293" t="e">
        <f t="shared" si="15"/>
        <v>#DIV/0!</v>
      </c>
      <c r="L69" s="293" t="e">
        <f t="shared" si="15"/>
        <v>#DIV/0!</v>
      </c>
      <c r="M69" s="293" t="e">
        <f t="shared" si="15"/>
        <v>#DIV/0!</v>
      </c>
      <c r="N69" s="3"/>
    </row>
    <row r="70" spans="1:14" ht="16.5" x14ac:dyDescent="0.3">
      <c r="A70" s="360"/>
      <c r="B70" s="294"/>
      <c r="C70" s="294"/>
      <c r="D70" s="294"/>
      <c r="E70" s="294"/>
      <c r="F70" s="294"/>
      <c r="G70" s="294"/>
      <c r="H70" s="294"/>
      <c r="I70" s="294"/>
      <c r="J70" s="294"/>
      <c r="K70" s="294"/>
      <c r="L70" s="294"/>
      <c r="M70" s="294"/>
      <c r="N70" s="3"/>
    </row>
    <row r="71" spans="1:14" ht="16.5" x14ac:dyDescent="0.3">
      <c r="A71" s="362" t="s">
        <v>55</v>
      </c>
      <c r="B71" s="295"/>
      <c r="C71" s="295"/>
      <c r="D71" s="295"/>
      <c r="E71" s="295"/>
      <c r="F71" s="295"/>
      <c r="G71" s="295"/>
      <c r="H71" s="295"/>
      <c r="I71" s="295"/>
      <c r="J71" s="295"/>
      <c r="K71" s="295"/>
      <c r="L71" s="295"/>
      <c r="M71" s="295"/>
      <c r="N71" s="3"/>
    </row>
    <row r="72" spans="1:14" ht="16.5" x14ac:dyDescent="0.3">
      <c r="A72" s="360" t="s">
        <v>101</v>
      </c>
      <c r="B72" s="363" t="e">
        <f>($B$32*B44)/100</f>
        <v>#DIV/0!</v>
      </c>
      <c r="C72" s="292" t="e">
        <f t="shared" ref="C72:M72" si="16">($B$32*C44)/100</f>
        <v>#DIV/0!</v>
      </c>
      <c r="D72" s="292" t="e">
        <f t="shared" si="16"/>
        <v>#DIV/0!</v>
      </c>
      <c r="E72" s="292" t="e">
        <f t="shared" si="16"/>
        <v>#DIV/0!</v>
      </c>
      <c r="F72" s="292" t="e">
        <f t="shared" si="16"/>
        <v>#DIV/0!</v>
      </c>
      <c r="G72" s="292" t="e">
        <f t="shared" si="16"/>
        <v>#DIV/0!</v>
      </c>
      <c r="H72" s="292" t="e">
        <f t="shared" si="16"/>
        <v>#DIV/0!</v>
      </c>
      <c r="I72" s="292" t="e">
        <f t="shared" si="16"/>
        <v>#DIV/0!</v>
      </c>
      <c r="J72" s="292" t="e">
        <f t="shared" si="16"/>
        <v>#DIV/0!</v>
      </c>
      <c r="K72" s="292" t="e">
        <f t="shared" si="16"/>
        <v>#DIV/0!</v>
      </c>
      <c r="L72" s="292" t="e">
        <f t="shared" si="16"/>
        <v>#DIV/0!</v>
      </c>
      <c r="M72" s="292" t="e">
        <f t="shared" si="16"/>
        <v>#DIV/0!</v>
      </c>
      <c r="N72" s="3"/>
    </row>
    <row r="73" spans="1:14" ht="16.5" x14ac:dyDescent="0.3">
      <c r="A73" s="360" t="s">
        <v>96</v>
      </c>
      <c r="B73" s="363" t="e">
        <f>($C$32*B45)/100</f>
        <v>#DIV/0!</v>
      </c>
      <c r="C73" s="292" t="e">
        <f t="shared" ref="C73:M73" si="17">($C$32*C45)/100</f>
        <v>#DIV/0!</v>
      </c>
      <c r="D73" s="292" t="e">
        <f t="shared" si="17"/>
        <v>#DIV/0!</v>
      </c>
      <c r="E73" s="292" t="e">
        <f t="shared" si="17"/>
        <v>#DIV/0!</v>
      </c>
      <c r="F73" s="292" t="e">
        <f t="shared" si="17"/>
        <v>#DIV/0!</v>
      </c>
      <c r="G73" s="292" t="e">
        <f t="shared" si="17"/>
        <v>#DIV/0!</v>
      </c>
      <c r="H73" s="292" t="e">
        <f t="shared" si="17"/>
        <v>#DIV/0!</v>
      </c>
      <c r="I73" s="292" t="e">
        <f t="shared" si="17"/>
        <v>#DIV/0!</v>
      </c>
      <c r="J73" s="292" t="e">
        <f t="shared" si="17"/>
        <v>#DIV/0!</v>
      </c>
      <c r="K73" s="292" t="e">
        <f t="shared" si="17"/>
        <v>#DIV/0!</v>
      </c>
      <c r="L73" s="292" t="e">
        <f t="shared" si="17"/>
        <v>#DIV/0!</v>
      </c>
      <c r="M73" s="292" t="e">
        <f t="shared" si="17"/>
        <v>#DIV/0!</v>
      </c>
      <c r="N73" s="3"/>
    </row>
    <row r="74" spans="1:14" ht="16.5" x14ac:dyDescent="0.3">
      <c r="A74" s="360" t="s">
        <v>97</v>
      </c>
      <c r="B74" s="363" t="e">
        <f>($D$32*B46)/100</f>
        <v>#DIV/0!</v>
      </c>
      <c r="C74" s="292" t="e">
        <f t="shared" ref="C74:M74" si="18">($D$32*C46)/100</f>
        <v>#DIV/0!</v>
      </c>
      <c r="D74" s="292" t="e">
        <f t="shared" si="18"/>
        <v>#DIV/0!</v>
      </c>
      <c r="E74" s="292" t="e">
        <f t="shared" si="18"/>
        <v>#DIV/0!</v>
      </c>
      <c r="F74" s="292" t="e">
        <f t="shared" si="18"/>
        <v>#DIV/0!</v>
      </c>
      <c r="G74" s="292" t="e">
        <f t="shared" si="18"/>
        <v>#DIV/0!</v>
      </c>
      <c r="H74" s="292" t="e">
        <f t="shared" si="18"/>
        <v>#DIV/0!</v>
      </c>
      <c r="I74" s="292" t="e">
        <f t="shared" si="18"/>
        <v>#DIV/0!</v>
      </c>
      <c r="J74" s="292" t="e">
        <f t="shared" si="18"/>
        <v>#DIV/0!</v>
      </c>
      <c r="K74" s="292" t="e">
        <f t="shared" si="18"/>
        <v>#DIV/0!</v>
      </c>
      <c r="L74" s="292" t="e">
        <f t="shared" si="18"/>
        <v>#DIV/0!</v>
      </c>
      <c r="M74" s="292" t="e">
        <f t="shared" si="18"/>
        <v>#DIV/0!</v>
      </c>
      <c r="N74" s="3"/>
    </row>
    <row r="75" spans="1:14" ht="16.5" x14ac:dyDescent="0.3">
      <c r="A75" s="360" t="s">
        <v>770</v>
      </c>
      <c r="B75" s="363" t="e">
        <f>($E$32*B46)/100</f>
        <v>#DIV/0!</v>
      </c>
      <c r="C75" s="292" t="e">
        <f t="shared" ref="C75:M75" si="19">($E$32*C46)/100</f>
        <v>#DIV/0!</v>
      </c>
      <c r="D75" s="292" t="e">
        <f t="shared" si="19"/>
        <v>#DIV/0!</v>
      </c>
      <c r="E75" s="292" t="e">
        <f t="shared" si="19"/>
        <v>#DIV/0!</v>
      </c>
      <c r="F75" s="292" t="e">
        <f t="shared" si="19"/>
        <v>#DIV/0!</v>
      </c>
      <c r="G75" s="292" t="e">
        <f t="shared" si="19"/>
        <v>#DIV/0!</v>
      </c>
      <c r="H75" s="292" t="e">
        <f t="shared" si="19"/>
        <v>#DIV/0!</v>
      </c>
      <c r="I75" s="292" t="e">
        <f t="shared" si="19"/>
        <v>#DIV/0!</v>
      </c>
      <c r="J75" s="292" t="e">
        <f t="shared" si="19"/>
        <v>#DIV/0!</v>
      </c>
      <c r="K75" s="292" t="e">
        <f t="shared" si="19"/>
        <v>#DIV/0!</v>
      </c>
      <c r="L75" s="292" t="e">
        <f t="shared" si="19"/>
        <v>#DIV/0!</v>
      </c>
      <c r="M75" s="292" t="e">
        <f t="shared" si="19"/>
        <v>#DIV/0!</v>
      </c>
      <c r="N75" s="3"/>
    </row>
    <row r="76" spans="1:14" ht="16.5" x14ac:dyDescent="0.3">
      <c r="A76" s="361" t="s">
        <v>100</v>
      </c>
      <c r="B76" s="364" t="e">
        <f>SUM(B72:B75)</f>
        <v>#DIV/0!</v>
      </c>
      <c r="C76" s="293" t="e">
        <f t="shared" ref="C76:M76" si="20">SUM(C72:C75)</f>
        <v>#DIV/0!</v>
      </c>
      <c r="D76" s="293" t="e">
        <f t="shared" si="20"/>
        <v>#DIV/0!</v>
      </c>
      <c r="E76" s="293" t="e">
        <f t="shared" si="20"/>
        <v>#DIV/0!</v>
      </c>
      <c r="F76" s="293" t="e">
        <f t="shared" si="20"/>
        <v>#DIV/0!</v>
      </c>
      <c r="G76" s="293" t="e">
        <f t="shared" si="20"/>
        <v>#DIV/0!</v>
      </c>
      <c r="H76" s="293" t="e">
        <f t="shared" si="20"/>
        <v>#DIV/0!</v>
      </c>
      <c r="I76" s="293" t="e">
        <f t="shared" si="20"/>
        <v>#DIV/0!</v>
      </c>
      <c r="J76" s="293" t="e">
        <f t="shared" si="20"/>
        <v>#DIV/0!</v>
      </c>
      <c r="K76" s="293" t="e">
        <f t="shared" si="20"/>
        <v>#DIV/0!</v>
      </c>
      <c r="L76" s="293" t="e">
        <f t="shared" si="20"/>
        <v>#DIV/0!</v>
      </c>
      <c r="M76" s="293" t="e">
        <f t="shared" si="20"/>
        <v>#DIV/0!</v>
      </c>
      <c r="N76" s="3"/>
    </row>
    <row r="77" spans="1:14" ht="16.5" x14ac:dyDescent="0.3">
      <c r="A77" s="360"/>
      <c r="B77" s="295"/>
      <c r="C77" s="295"/>
      <c r="D77" s="295"/>
      <c r="E77" s="295"/>
      <c r="F77" s="295"/>
      <c r="G77" s="295"/>
      <c r="H77" s="295"/>
      <c r="I77" s="295"/>
      <c r="J77" s="295"/>
      <c r="K77" s="295"/>
      <c r="L77" s="295"/>
      <c r="M77" s="295"/>
      <c r="N77" s="3"/>
    </row>
    <row r="78" spans="1:14" ht="16.5" x14ac:dyDescent="0.3">
      <c r="A78" s="362" t="s">
        <v>56</v>
      </c>
      <c r="B78" s="295"/>
      <c r="C78" s="295"/>
      <c r="D78" s="295"/>
      <c r="E78" s="295"/>
      <c r="F78" s="295"/>
      <c r="G78" s="295"/>
      <c r="H78" s="295"/>
      <c r="I78" s="295"/>
      <c r="J78" s="295"/>
      <c r="K78" s="295"/>
      <c r="L78" s="295"/>
      <c r="M78" s="295"/>
      <c r="N78" s="3"/>
    </row>
    <row r="79" spans="1:14" ht="16.5" x14ac:dyDescent="0.3">
      <c r="A79" s="360" t="s">
        <v>101</v>
      </c>
      <c r="B79" s="363" t="e">
        <f>($B$33*B47)/100</f>
        <v>#DIV/0!</v>
      </c>
      <c r="C79" s="292" t="e">
        <f t="shared" ref="C79:M79" si="21">($B$33*C47)/100</f>
        <v>#DIV/0!</v>
      </c>
      <c r="D79" s="292" t="e">
        <f t="shared" si="21"/>
        <v>#DIV/0!</v>
      </c>
      <c r="E79" s="292" t="e">
        <f t="shared" si="21"/>
        <v>#DIV/0!</v>
      </c>
      <c r="F79" s="292" t="e">
        <f t="shared" si="21"/>
        <v>#DIV/0!</v>
      </c>
      <c r="G79" s="292" t="e">
        <f t="shared" si="21"/>
        <v>#DIV/0!</v>
      </c>
      <c r="H79" s="292" t="e">
        <f t="shared" si="21"/>
        <v>#DIV/0!</v>
      </c>
      <c r="I79" s="292" t="e">
        <f t="shared" si="21"/>
        <v>#DIV/0!</v>
      </c>
      <c r="J79" s="292" t="e">
        <f t="shared" si="21"/>
        <v>#DIV/0!</v>
      </c>
      <c r="K79" s="292" t="e">
        <f t="shared" si="21"/>
        <v>#DIV/0!</v>
      </c>
      <c r="L79" s="292" t="e">
        <f t="shared" si="21"/>
        <v>#DIV/0!</v>
      </c>
      <c r="M79" s="292" t="e">
        <f t="shared" si="21"/>
        <v>#DIV/0!</v>
      </c>
      <c r="N79" s="3"/>
    </row>
    <row r="80" spans="1:14" ht="16.5" x14ac:dyDescent="0.3">
      <c r="A80" s="360" t="s">
        <v>96</v>
      </c>
      <c r="B80" s="363" t="e">
        <f>($C$33*B48)/100</f>
        <v>#DIV/0!</v>
      </c>
      <c r="C80" s="292" t="e">
        <f t="shared" ref="C80:M80" si="22">($C$33*C48)/100</f>
        <v>#DIV/0!</v>
      </c>
      <c r="D80" s="292" t="e">
        <f t="shared" si="22"/>
        <v>#DIV/0!</v>
      </c>
      <c r="E80" s="292" t="e">
        <f t="shared" si="22"/>
        <v>#DIV/0!</v>
      </c>
      <c r="F80" s="292" t="e">
        <f t="shared" si="22"/>
        <v>#DIV/0!</v>
      </c>
      <c r="G80" s="292" t="e">
        <f t="shared" si="22"/>
        <v>#DIV/0!</v>
      </c>
      <c r="H80" s="292" t="e">
        <f t="shared" si="22"/>
        <v>#DIV/0!</v>
      </c>
      <c r="I80" s="292" t="e">
        <f t="shared" si="22"/>
        <v>#DIV/0!</v>
      </c>
      <c r="J80" s="292" t="e">
        <f t="shared" si="22"/>
        <v>#DIV/0!</v>
      </c>
      <c r="K80" s="292" t="e">
        <f t="shared" si="22"/>
        <v>#DIV/0!</v>
      </c>
      <c r="L80" s="292" t="e">
        <f t="shared" si="22"/>
        <v>#DIV/0!</v>
      </c>
      <c r="M80" s="292" t="e">
        <f t="shared" si="22"/>
        <v>#DIV/0!</v>
      </c>
      <c r="N80" s="3"/>
    </row>
    <row r="81" spans="1:14" ht="16.5" x14ac:dyDescent="0.3">
      <c r="A81" s="360" t="s">
        <v>97</v>
      </c>
      <c r="B81" s="363" t="e">
        <f>($D$33*B49)/100</f>
        <v>#DIV/0!</v>
      </c>
      <c r="C81" s="292" t="e">
        <f t="shared" ref="C81:M81" si="23">($D$33*C49)/100</f>
        <v>#DIV/0!</v>
      </c>
      <c r="D81" s="292" t="e">
        <f t="shared" si="23"/>
        <v>#DIV/0!</v>
      </c>
      <c r="E81" s="292" t="e">
        <f t="shared" si="23"/>
        <v>#DIV/0!</v>
      </c>
      <c r="F81" s="292" t="e">
        <f t="shared" si="23"/>
        <v>#DIV/0!</v>
      </c>
      <c r="G81" s="292" t="e">
        <f t="shared" si="23"/>
        <v>#DIV/0!</v>
      </c>
      <c r="H81" s="292" t="e">
        <f t="shared" si="23"/>
        <v>#DIV/0!</v>
      </c>
      <c r="I81" s="292" t="e">
        <f t="shared" si="23"/>
        <v>#DIV/0!</v>
      </c>
      <c r="J81" s="292" t="e">
        <f t="shared" si="23"/>
        <v>#DIV/0!</v>
      </c>
      <c r="K81" s="292" t="e">
        <f t="shared" si="23"/>
        <v>#DIV/0!</v>
      </c>
      <c r="L81" s="292" t="e">
        <f t="shared" si="23"/>
        <v>#DIV/0!</v>
      </c>
      <c r="M81" s="292" t="e">
        <f t="shared" si="23"/>
        <v>#DIV/0!</v>
      </c>
      <c r="N81" s="3"/>
    </row>
    <row r="82" spans="1:14" ht="16.5" x14ac:dyDescent="0.3">
      <c r="A82" s="360" t="s">
        <v>770</v>
      </c>
      <c r="B82" s="363" t="e">
        <f>($E$33*B49)/100</f>
        <v>#DIV/0!</v>
      </c>
      <c r="C82" s="292" t="e">
        <f t="shared" ref="C82:M82" si="24">($E$33*C49)/100</f>
        <v>#DIV/0!</v>
      </c>
      <c r="D82" s="292" t="e">
        <f t="shared" si="24"/>
        <v>#DIV/0!</v>
      </c>
      <c r="E82" s="292" t="e">
        <f t="shared" si="24"/>
        <v>#DIV/0!</v>
      </c>
      <c r="F82" s="292" t="e">
        <f t="shared" si="24"/>
        <v>#DIV/0!</v>
      </c>
      <c r="G82" s="292" t="e">
        <f t="shared" si="24"/>
        <v>#DIV/0!</v>
      </c>
      <c r="H82" s="292" t="e">
        <f t="shared" si="24"/>
        <v>#DIV/0!</v>
      </c>
      <c r="I82" s="292" t="e">
        <f t="shared" si="24"/>
        <v>#DIV/0!</v>
      </c>
      <c r="J82" s="292" t="e">
        <f t="shared" si="24"/>
        <v>#DIV/0!</v>
      </c>
      <c r="K82" s="292" t="e">
        <f t="shared" si="24"/>
        <v>#DIV/0!</v>
      </c>
      <c r="L82" s="292" t="e">
        <f t="shared" si="24"/>
        <v>#DIV/0!</v>
      </c>
      <c r="M82" s="292" t="e">
        <f t="shared" si="24"/>
        <v>#DIV/0!</v>
      </c>
      <c r="N82" s="3"/>
    </row>
    <row r="83" spans="1:14" ht="16.5" x14ac:dyDescent="0.3">
      <c r="A83" s="365" t="s">
        <v>100</v>
      </c>
      <c r="B83" s="364" t="e">
        <f>SUM(B79:B82)</f>
        <v>#DIV/0!</v>
      </c>
      <c r="C83" s="293" t="e">
        <f t="shared" ref="C83:M83" si="25">SUM(C79:C82)</f>
        <v>#DIV/0!</v>
      </c>
      <c r="D83" s="293" t="e">
        <f t="shared" si="25"/>
        <v>#DIV/0!</v>
      </c>
      <c r="E83" s="293" t="e">
        <f t="shared" si="25"/>
        <v>#DIV/0!</v>
      </c>
      <c r="F83" s="293" t="e">
        <f t="shared" si="25"/>
        <v>#DIV/0!</v>
      </c>
      <c r="G83" s="293" t="e">
        <f t="shared" si="25"/>
        <v>#DIV/0!</v>
      </c>
      <c r="H83" s="293" t="e">
        <f t="shared" si="25"/>
        <v>#DIV/0!</v>
      </c>
      <c r="I83" s="293" t="e">
        <f t="shared" si="25"/>
        <v>#DIV/0!</v>
      </c>
      <c r="J83" s="293" t="e">
        <f t="shared" si="25"/>
        <v>#DIV/0!</v>
      </c>
      <c r="K83" s="293" t="e">
        <f t="shared" si="25"/>
        <v>#DIV/0!</v>
      </c>
      <c r="L83" s="293" t="e">
        <f t="shared" si="25"/>
        <v>#DIV/0!</v>
      </c>
      <c r="M83" s="293" t="e">
        <f t="shared" si="25"/>
        <v>#DIV/0!</v>
      </c>
      <c r="N83" s="3"/>
    </row>
    <row r="84" spans="1:14" ht="16.5" x14ac:dyDescent="0.3">
      <c r="A84" s="360"/>
      <c r="B84" s="295"/>
      <c r="C84" s="295"/>
      <c r="D84" s="295"/>
      <c r="E84" s="295"/>
      <c r="F84" s="295"/>
      <c r="G84" s="295"/>
      <c r="H84" s="295"/>
      <c r="I84" s="295"/>
      <c r="J84" s="295"/>
      <c r="K84" s="295"/>
      <c r="L84" s="295"/>
      <c r="M84" s="295"/>
      <c r="N84" s="3"/>
    </row>
    <row r="85" spans="1:14" ht="16.5" x14ac:dyDescent="0.3">
      <c r="A85" s="362" t="s">
        <v>57</v>
      </c>
      <c r="B85" s="295"/>
      <c r="C85" s="295"/>
      <c r="D85" s="295"/>
      <c r="E85" s="295"/>
      <c r="F85" s="295"/>
      <c r="G85" s="295"/>
      <c r="H85" s="295"/>
      <c r="I85" s="295"/>
      <c r="J85" s="295"/>
      <c r="K85" s="295"/>
      <c r="L85" s="295"/>
      <c r="M85" s="295"/>
      <c r="N85" s="3"/>
    </row>
    <row r="86" spans="1:14" ht="16.5" x14ac:dyDescent="0.3">
      <c r="A86" s="360" t="s">
        <v>101</v>
      </c>
      <c r="B86" s="363" t="e">
        <f>($B$34*B50)/100</f>
        <v>#DIV/0!</v>
      </c>
      <c r="C86" s="292" t="e">
        <f t="shared" ref="C86:M86" si="26">($B$34*C50)/100</f>
        <v>#DIV/0!</v>
      </c>
      <c r="D86" s="292" t="e">
        <f t="shared" si="26"/>
        <v>#DIV/0!</v>
      </c>
      <c r="E86" s="292" t="e">
        <f t="shared" si="26"/>
        <v>#DIV/0!</v>
      </c>
      <c r="F86" s="292" t="e">
        <f t="shared" si="26"/>
        <v>#DIV/0!</v>
      </c>
      <c r="G86" s="292" t="e">
        <f t="shared" si="26"/>
        <v>#DIV/0!</v>
      </c>
      <c r="H86" s="292" t="e">
        <f t="shared" si="26"/>
        <v>#DIV/0!</v>
      </c>
      <c r="I86" s="292" t="e">
        <f t="shared" si="26"/>
        <v>#DIV/0!</v>
      </c>
      <c r="J86" s="292" t="e">
        <f t="shared" si="26"/>
        <v>#DIV/0!</v>
      </c>
      <c r="K86" s="292" t="e">
        <f t="shared" si="26"/>
        <v>#DIV/0!</v>
      </c>
      <c r="L86" s="292" t="e">
        <f t="shared" si="26"/>
        <v>#DIV/0!</v>
      </c>
      <c r="M86" s="292" t="e">
        <f t="shared" si="26"/>
        <v>#DIV/0!</v>
      </c>
      <c r="N86" s="3" t="s">
        <v>102</v>
      </c>
    </row>
    <row r="87" spans="1:14" ht="16.5" x14ac:dyDescent="0.3">
      <c r="A87" s="360" t="s">
        <v>96</v>
      </c>
      <c r="B87" s="363" t="e">
        <f>($D$34*B50)/100</f>
        <v>#DIV/0!</v>
      </c>
      <c r="C87" s="292" t="e">
        <f t="shared" ref="C87:M87" si="27">($C$34*C50)/100</f>
        <v>#DIV/0!</v>
      </c>
      <c r="D87" s="292" t="e">
        <f t="shared" si="27"/>
        <v>#DIV/0!</v>
      </c>
      <c r="E87" s="292" t="e">
        <f t="shared" si="27"/>
        <v>#DIV/0!</v>
      </c>
      <c r="F87" s="292" t="e">
        <f t="shared" si="27"/>
        <v>#DIV/0!</v>
      </c>
      <c r="G87" s="292" t="e">
        <f t="shared" si="27"/>
        <v>#DIV/0!</v>
      </c>
      <c r="H87" s="292" t="e">
        <f t="shared" si="27"/>
        <v>#DIV/0!</v>
      </c>
      <c r="I87" s="292" t="e">
        <f t="shared" si="27"/>
        <v>#DIV/0!</v>
      </c>
      <c r="J87" s="292" t="e">
        <f t="shared" si="27"/>
        <v>#DIV/0!</v>
      </c>
      <c r="K87" s="292" t="e">
        <f t="shared" si="27"/>
        <v>#DIV/0!</v>
      </c>
      <c r="L87" s="292" t="e">
        <f t="shared" si="27"/>
        <v>#DIV/0!</v>
      </c>
      <c r="M87" s="292" t="e">
        <f t="shared" si="27"/>
        <v>#DIV/0!</v>
      </c>
      <c r="N87" s="3" t="s">
        <v>102</v>
      </c>
    </row>
    <row r="88" spans="1:14" ht="16.5" x14ac:dyDescent="0.3">
      <c r="A88" s="360" t="s">
        <v>97</v>
      </c>
      <c r="B88" s="363" t="e">
        <f>($D$34*B50)/100</f>
        <v>#DIV/0!</v>
      </c>
      <c r="C88" s="292" t="e">
        <f t="shared" ref="C88:M88" si="28">($D$34*C50)/100</f>
        <v>#DIV/0!</v>
      </c>
      <c r="D88" s="292" t="e">
        <f t="shared" si="28"/>
        <v>#DIV/0!</v>
      </c>
      <c r="E88" s="292" t="e">
        <f t="shared" si="28"/>
        <v>#DIV/0!</v>
      </c>
      <c r="F88" s="292" t="e">
        <f t="shared" si="28"/>
        <v>#DIV/0!</v>
      </c>
      <c r="G88" s="292" t="e">
        <f t="shared" si="28"/>
        <v>#DIV/0!</v>
      </c>
      <c r="H88" s="292" t="e">
        <f t="shared" si="28"/>
        <v>#DIV/0!</v>
      </c>
      <c r="I88" s="292" t="e">
        <f t="shared" si="28"/>
        <v>#DIV/0!</v>
      </c>
      <c r="J88" s="292" t="e">
        <f t="shared" si="28"/>
        <v>#DIV/0!</v>
      </c>
      <c r="K88" s="292" t="e">
        <f t="shared" si="28"/>
        <v>#DIV/0!</v>
      </c>
      <c r="L88" s="292" t="e">
        <f t="shared" si="28"/>
        <v>#DIV/0!</v>
      </c>
      <c r="M88" s="292" t="e">
        <f t="shared" si="28"/>
        <v>#DIV/0!</v>
      </c>
      <c r="N88" s="3" t="s">
        <v>102</v>
      </c>
    </row>
    <row r="89" spans="1:14" ht="16.5" x14ac:dyDescent="0.3">
      <c r="A89" s="360" t="s">
        <v>98</v>
      </c>
      <c r="B89" s="363" t="e">
        <f>($E$34*B50)/100</f>
        <v>#DIV/0!</v>
      </c>
      <c r="C89" s="292" t="e">
        <f t="shared" ref="C89:M89" si="29">($E$34*C50)/100</f>
        <v>#DIV/0!</v>
      </c>
      <c r="D89" s="292" t="e">
        <f t="shared" si="29"/>
        <v>#DIV/0!</v>
      </c>
      <c r="E89" s="292" t="e">
        <f t="shared" si="29"/>
        <v>#DIV/0!</v>
      </c>
      <c r="F89" s="292" t="e">
        <f t="shared" si="29"/>
        <v>#DIV/0!</v>
      </c>
      <c r="G89" s="292" t="e">
        <f t="shared" si="29"/>
        <v>#DIV/0!</v>
      </c>
      <c r="H89" s="292" t="e">
        <f t="shared" si="29"/>
        <v>#DIV/0!</v>
      </c>
      <c r="I89" s="292" t="e">
        <f t="shared" si="29"/>
        <v>#DIV/0!</v>
      </c>
      <c r="J89" s="292" t="e">
        <f t="shared" si="29"/>
        <v>#DIV/0!</v>
      </c>
      <c r="K89" s="292" t="e">
        <f t="shared" si="29"/>
        <v>#DIV/0!</v>
      </c>
      <c r="L89" s="292" t="e">
        <f t="shared" si="29"/>
        <v>#DIV/0!</v>
      </c>
      <c r="M89" s="292" t="e">
        <f t="shared" si="29"/>
        <v>#DIV/0!</v>
      </c>
      <c r="N89" s="3" t="s">
        <v>102</v>
      </c>
    </row>
    <row r="90" spans="1:14" ht="16.5" x14ac:dyDescent="0.3">
      <c r="A90" s="360" t="s">
        <v>99</v>
      </c>
      <c r="B90" s="363" t="e">
        <f>($F$34*B50)/100</f>
        <v>#DIV/0!</v>
      </c>
      <c r="C90" s="292" t="e">
        <f t="shared" ref="C90:M90" si="30">($F$34*C50)/100</f>
        <v>#DIV/0!</v>
      </c>
      <c r="D90" s="292" t="e">
        <f t="shared" si="30"/>
        <v>#DIV/0!</v>
      </c>
      <c r="E90" s="292" t="e">
        <f t="shared" si="30"/>
        <v>#DIV/0!</v>
      </c>
      <c r="F90" s="292" t="e">
        <f t="shared" si="30"/>
        <v>#DIV/0!</v>
      </c>
      <c r="G90" s="292" t="e">
        <f t="shared" si="30"/>
        <v>#DIV/0!</v>
      </c>
      <c r="H90" s="292" t="e">
        <f t="shared" si="30"/>
        <v>#DIV/0!</v>
      </c>
      <c r="I90" s="292" t="e">
        <f t="shared" si="30"/>
        <v>#DIV/0!</v>
      </c>
      <c r="J90" s="292" t="e">
        <f t="shared" si="30"/>
        <v>#DIV/0!</v>
      </c>
      <c r="K90" s="292" t="e">
        <f t="shared" si="30"/>
        <v>#DIV/0!</v>
      </c>
      <c r="L90" s="292" t="e">
        <f t="shared" si="30"/>
        <v>#DIV/0!</v>
      </c>
      <c r="M90" s="292" t="e">
        <f t="shared" si="30"/>
        <v>#DIV/0!</v>
      </c>
      <c r="N90" s="3" t="s">
        <v>102</v>
      </c>
    </row>
    <row r="91" spans="1:14" ht="16.5" x14ac:dyDescent="0.3">
      <c r="A91" s="360" t="s">
        <v>767</v>
      </c>
      <c r="B91" s="363" t="e">
        <f t="shared" ref="B91:M91" si="31">($G$34*B50)/100</f>
        <v>#DIV/0!</v>
      </c>
      <c r="C91" s="292" t="e">
        <f t="shared" si="31"/>
        <v>#DIV/0!</v>
      </c>
      <c r="D91" s="292" t="e">
        <f t="shared" si="31"/>
        <v>#DIV/0!</v>
      </c>
      <c r="E91" s="292" t="e">
        <f t="shared" si="31"/>
        <v>#DIV/0!</v>
      </c>
      <c r="F91" s="292" t="e">
        <f t="shared" si="31"/>
        <v>#DIV/0!</v>
      </c>
      <c r="G91" s="292" t="e">
        <f t="shared" si="31"/>
        <v>#DIV/0!</v>
      </c>
      <c r="H91" s="292" t="e">
        <f t="shared" si="31"/>
        <v>#DIV/0!</v>
      </c>
      <c r="I91" s="292" t="e">
        <f t="shared" si="31"/>
        <v>#DIV/0!</v>
      </c>
      <c r="J91" s="292" t="e">
        <f t="shared" si="31"/>
        <v>#DIV/0!</v>
      </c>
      <c r="K91" s="292" t="e">
        <f t="shared" si="31"/>
        <v>#DIV/0!</v>
      </c>
      <c r="L91" s="292" t="e">
        <f t="shared" si="31"/>
        <v>#DIV/0!</v>
      </c>
      <c r="M91" s="292" t="e">
        <f t="shared" si="31"/>
        <v>#DIV/0!</v>
      </c>
      <c r="N91" s="3" t="s">
        <v>102</v>
      </c>
    </row>
    <row r="92" spans="1:14" ht="16.5" x14ac:dyDescent="0.3">
      <c r="A92" s="365" t="s">
        <v>100</v>
      </c>
      <c r="B92" s="364" t="e">
        <f t="shared" ref="B92:M92" si="32">SUM(B86:B91)</f>
        <v>#DIV/0!</v>
      </c>
      <c r="C92" s="293" t="e">
        <f t="shared" si="32"/>
        <v>#DIV/0!</v>
      </c>
      <c r="D92" s="293" t="e">
        <f t="shared" si="32"/>
        <v>#DIV/0!</v>
      </c>
      <c r="E92" s="293" t="e">
        <f t="shared" si="32"/>
        <v>#DIV/0!</v>
      </c>
      <c r="F92" s="293" t="e">
        <f t="shared" si="32"/>
        <v>#DIV/0!</v>
      </c>
      <c r="G92" s="293" t="e">
        <f t="shared" si="32"/>
        <v>#DIV/0!</v>
      </c>
      <c r="H92" s="293" t="e">
        <f t="shared" si="32"/>
        <v>#DIV/0!</v>
      </c>
      <c r="I92" s="293" t="e">
        <f t="shared" si="32"/>
        <v>#DIV/0!</v>
      </c>
      <c r="J92" s="293" t="e">
        <f t="shared" si="32"/>
        <v>#DIV/0!</v>
      </c>
      <c r="K92" s="293" t="e">
        <f t="shared" si="32"/>
        <v>#DIV/0!</v>
      </c>
      <c r="L92" s="293" t="e">
        <f t="shared" si="32"/>
        <v>#DIV/0!</v>
      </c>
      <c r="M92" s="293" t="e">
        <f t="shared" si="32"/>
        <v>#DIV/0!</v>
      </c>
      <c r="N92" s="3"/>
    </row>
    <row r="95" spans="1:14" ht="18" x14ac:dyDescent="0.3">
      <c r="A95" s="211" t="s">
        <v>850</v>
      </c>
      <c r="B95" s="43"/>
      <c r="C95" s="43"/>
      <c r="D95" s="43"/>
    </row>
    <row r="96" spans="1:14" ht="16.5" customHeight="1" x14ac:dyDescent="0.3">
      <c r="B96" s="342" t="s">
        <v>103</v>
      </c>
      <c r="C96" s="342" t="s">
        <v>68</v>
      </c>
      <c r="D96" s="343" t="s">
        <v>69</v>
      </c>
      <c r="E96" s="342" t="s">
        <v>70</v>
      </c>
      <c r="F96" s="342" t="s">
        <v>71</v>
      </c>
      <c r="G96" s="342" t="s">
        <v>72</v>
      </c>
      <c r="H96" s="342" t="s">
        <v>73</v>
      </c>
      <c r="I96" s="342" t="s">
        <v>74</v>
      </c>
      <c r="J96" s="342" t="s">
        <v>147</v>
      </c>
      <c r="K96" s="342" t="s">
        <v>76</v>
      </c>
      <c r="L96" s="342" t="s">
        <v>77</v>
      </c>
      <c r="M96" s="342" t="s">
        <v>78</v>
      </c>
    </row>
    <row r="97" spans="1:14" ht="19.350000000000001" customHeight="1" x14ac:dyDescent="0.3">
      <c r="A97" s="342" t="s">
        <v>44</v>
      </c>
      <c r="B97" s="348" t="s">
        <v>80</v>
      </c>
      <c r="C97" s="348" t="s">
        <v>81</v>
      </c>
      <c r="D97" s="348" t="s">
        <v>82</v>
      </c>
      <c r="E97" s="348" t="s">
        <v>83</v>
      </c>
      <c r="F97" s="348" t="s">
        <v>84</v>
      </c>
      <c r="G97" s="348" t="s">
        <v>85</v>
      </c>
      <c r="H97" s="348" t="s">
        <v>86</v>
      </c>
      <c r="I97" s="348" t="s">
        <v>87</v>
      </c>
      <c r="J97" s="348" t="s">
        <v>88</v>
      </c>
      <c r="K97" s="348" t="s">
        <v>89</v>
      </c>
      <c r="L97" s="348" t="s">
        <v>90</v>
      </c>
      <c r="M97" s="348" t="s">
        <v>91</v>
      </c>
    </row>
    <row r="98" spans="1:14" ht="16.5" x14ac:dyDescent="0.3">
      <c r="A98" s="64" t="s">
        <v>53</v>
      </c>
      <c r="B98" s="9" t="e">
        <f>B62</f>
        <v>#DIV/0!</v>
      </c>
      <c r="C98" s="9" t="e">
        <f>C62</f>
        <v>#DIV/0!</v>
      </c>
      <c r="D98" s="9" t="e">
        <f t="shared" ref="D98:M98" si="33">D62</f>
        <v>#DIV/0!</v>
      </c>
      <c r="E98" s="9" t="e">
        <f t="shared" si="33"/>
        <v>#DIV/0!</v>
      </c>
      <c r="F98" s="9" t="e">
        <f t="shared" si="33"/>
        <v>#DIV/0!</v>
      </c>
      <c r="G98" s="9" t="e">
        <f t="shared" si="33"/>
        <v>#DIV/0!</v>
      </c>
      <c r="H98" s="9" t="e">
        <f t="shared" si="33"/>
        <v>#DIV/0!</v>
      </c>
      <c r="I98" s="9" t="e">
        <f t="shared" si="33"/>
        <v>#DIV/0!</v>
      </c>
      <c r="J98" s="9" t="e">
        <f t="shared" si="33"/>
        <v>#DIV/0!</v>
      </c>
      <c r="K98" s="9" t="e">
        <f t="shared" si="33"/>
        <v>#DIV/0!</v>
      </c>
      <c r="L98" s="9" t="e">
        <f t="shared" si="33"/>
        <v>#DIV/0!</v>
      </c>
      <c r="M98" s="9" t="e">
        <f t="shared" si="33"/>
        <v>#DIV/0!</v>
      </c>
    </row>
    <row r="99" spans="1:14" ht="16.5" x14ac:dyDescent="0.3">
      <c r="A99" s="64" t="s">
        <v>54</v>
      </c>
      <c r="B99" s="9" t="e">
        <f t="shared" ref="B99:M99" si="34">B69</f>
        <v>#DIV/0!</v>
      </c>
      <c r="C99" s="9" t="e">
        <f t="shared" si="34"/>
        <v>#DIV/0!</v>
      </c>
      <c r="D99" s="9" t="e">
        <f t="shared" si="34"/>
        <v>#DIV/0!</v>
      </c>
      <c r="E99" s="9" t="e">
        <f t="shared" si="34"/>
        <v>#DIV/0!</v>
      </c>
      <c r="F99" s="9" t="e">
        <f t="shared" si="34"/>
        <v>#DIV/0!</v>
      </c>
      <c r="G99" s="9" t="e">
        <f t="shared" si="34"/>
        <v>#DIV/0!</v>
      </c>
      <c r="H99" s="9" t="e">
        <f t="shared" si="34"/>
        <v>#DIV/0!</v>
      </c>
      <c r="I99" s="9" t="e">
        <f t="shared" si="34"/>
        <v>#DIV/0!</v>
      </c>
      <c r="J99" s="9" t="e">
        <f t="shared" si="34"/>
        <v>#DIV/0!</v>
      </c>
      <c r="K99" s="9" t="e">
        <f t="shared" si="34"/>
        <v>#DIV/0!</v>
      </c>
      <c r="L99" s="9" t="e">
        <f t="shared" si="34"/>
        <v>#DIV/0!</v>
      </c>
      <c r="M99" s="9" t="e">
        <f t="shared" si="34"/>
        <v>#DIV/0!</v>
      </c>
    </row>
    <row r="100" spans="1:14" ht="16.5" x14ac:dyDescent="0.3">
      <c r="A100" s="64" t="s">
        <v>55</v>
      </c>
      <c r="B100" s="9" t="e">
        <f t="shared" ref="B100:M100" si="35">B76</f>
        <v>#DIV/0!</v>
      </c>
      <c r="C100" s="9" t="e">
        <f t="shared" si="35"/>
        <v>#DIV/0!</v>
      </c>
      <c r="D100" s="9" t="e">
        <f t="shared" si="35"/>
        <v>#DIV/0!</v>
      </c>
      <c r="E100" s="9" t="e">
        <f t="shared" si="35"/>
        <v>#DIV/0!</v>
      </c>
      <c r="F100" s="9" t="e">
        <f t="shared" si="35"/>
        <v>#DIV/0!</v>
      </c>
      <c r="G100" s="9" t="e">
        <f t="shared" si="35"/>
        <v>#DIV/0!</v>
      </c>
      <c r="H100" s="9" t="e">
        <f t="shared" si="35"/>
        <v>#DIV/0!</v>
      </c>
      <c r="I100" s="9" t="e">
        <f t="shared" si="35"/>
        <v>#DIV/0!</v>
      </c>
      <c r="J100" s="9" t="e">
        <f t="shared" si="35"/>
        <v>#DIV/0!</v>
      </c>
      <c r="K100" s="9" t="e">
        <f t="shared" si="35"/>
        <v>#DIV/0!</v>
      </c>
      <c r="L100" s="9" t="e">
        <f t="shared" si="35"/>
        <v>#DIV/0!</v>
      </c>
      <c r="M100" s="9" t="e">
        <f t="shared" si="35"/>
        <v>#DIV/0!</v>
      </c>
    </row>
    <row r="101" spans="1:14" ht="16.5" x14ac:dyDescent="0.3">
      <c r="A101" s="64" t="s">
        <v>56</v>
      </c>
      <c r="B101" s="9" t="e">
        <f t="shared" ref="B101:M101" si="36">B83</f>
        <v>#DIV/0!</v>
      </c>
      <c r="C101" s="9" t="e">
        <f t="shared" si="36"/>
        <v>#DIV/0!</v>
      </c>
      <c r="D101" s="9" t="e">
        <f t="shared" si="36"/>
        <v>#DIV/0!</v>
      </c>
      <c r="E101" s="9" t="e">
        <f t="shared" si="36"/>
        <v>#DIV/0!</v>
      </c>
      <c r="F101" s="9" t="e">
        <f t="shared" si="36"/>
        <v>#DIV/0!</v>
      </c>
      <c r="G101" s="9" t="e">
        <f t="shared" si="36"/>
        <v>#DIV/0!</v>
      </c>
      <c r="H101" s="9" t="e">
        <f t="shared" si="36"/>
        <v>#DIV/0!</v>
      </c>
      <c r="I101" s="9" t="e">
        <f t="shared" si="36"/>
        <v>#DIV/0!</v>
      </c>
      <c r="J101" s="9" t="e">
        <f t="shared" si="36"/>
        <v>#DIV/0!</v>
      </c>
      <c r="K101" s="9" t="e">
        <f t="shared" si="36"/>
        <v>#DIV/0!</v>
      </c>
      <c r="L101" s="9" t="e">
        <f t="shared" si="36"/>
        <v>#DIV/0!</v>
      </c>
      <c r="M101" s="9" t="e">
        <f t="shared" si="36"/>
        <v>#DIV/0!</v>
      </c>
    </row>
    <row r="102" spans="1:14" ht="16.5" x14ac:dyDescent="0.3">
      <c r="A102" s="64" t="s">
        <v>57</v>
      </c>
      <c r="B102" s="9" t="e">
        <f t="shared" ref="B102:M102" si="37">B92</f>
        <v>#DIV/0!</v>
      </c>
      <c r="C102" s="9" t="e">
        <f t="shared" si="37"/>
        <v>#DIV/0!</v>
      </c>
      <c r="D102" s="9" t="e">
        <f t="shared" si="37"/>
        <v>#DIV/0!</v>
      </c>
      <c r="E102" s="9" t="e">
        <f t="shared" si="37"/>
        <v>#DIV/0!</v>
      </c>
      <c r="F102" s="9" t="e">
        <f t="shared" si="37"/>
        <v>#DIV/0!</v>
      </c>
      <c r="G102" s="9" t="e">
        <f t="shared" si="37"/>
        <v>#DIV/0!</v>
      </c>
      <c r="H102" s="9" t="e">
        <f t="shared" si="37"/>
        <v>#DIV/0!</v>
      </c>
      <c r="I102" s="9" t="e">
        <f t="shared" si="37"/>
        <v>#DIV/0!</v>
      </c>
      <c r="J102" s="9" t="e">
        <f t="shared" si="37"/>
        <v>#DIV/0!</v>
      </c>
      <c r="K102" s="9" t="e">
        <f t="shared" si="37"/>
        <v>#DIV/0!</v>
      </c>
      <c r="L102" s="9" t="e">
        <f t="shared" si="37"/>
        <v>#DIV/0!</v>
      </c>
      <c r="M102" s="9" t="e">
        <f t="shared" si="37"/>
        <v>#DIV/0!</v>
      </c>
    </row>
    <row r="103" spans="1:14" ht="16.5" x14ac:dyDescent="0.3">
      <c r="A103" s="22"/>
      <c r="B103" s="22"/>
      <c r="C103" s="22"/>
      <c r="D103" s="22"/>
      <c r="E103" s="22"/>
      <c r="F103" s="22"/>
      <c r="G103" s="22"/>
      <c r="H103" s="22"/>
      <c r="I103" s="22"/>
      <c r="J103" s="22"/>
      <c r="K103" s="22"/>
      <c r="L103" s="22"/>
      <c r="M103" s="22"/>
    </row>
    <row r="104" spans="1:14" ht="16.5" x14ac:dyDescent="0.3">
      <c r="A104" s="22"/>
      <c r="B104" s="22"/>
      <c r="C104" s="22"/>
      <c r="D104" s="22"/>
      <c r="E104" s="22"/>
      <c r="F104" s="22"/>
      <c r="G104" s="22"/>
      <c r="H104" s="22"/>
      <c r="I104" s="22"/>
      <c r="J104" s="22"/>
      <c r="K104" s="22"/>
      <c r="L104" s="22"/>
      <c r="M104" s="22"/>
    </row>
    <row r="105" spans="1:14" ht="18" x14ac:dyDescent="0.3">
      <c r="A105" s="43" t="s">
        <v>852</v>
      </c>
      <c r="B105" s="43"/>
      <c r="C105" s="43"/>
      <c r="D105" s="43"/>
      <c r="E105" s="43"/>
      <c r="N105" s="28" t="s">
        <v>104</v>
      </c>
    </row>
    <row r="106" spans="1:14" ht="18" x14ac:dyDescent="0.25">
      <c r="A106" s="370" t="s">
        <v>846</v>
      </c>
      <c r="B106" s="152" t="str">
        <f t="shared" ref="B106:M106" si="38">IF($B$3="","",SUM(B98:B102))</f>
        <v/>
      </c>
      <c r="C106" s="152" t="str">
        <f t="shared" si="38"/>
        <v/>
      </c>
      <c r="D106" s="152" t="str">
        <f t="shared" si="38"/>
        <v/>
      </c>
      <c r="E106" s="152" t="str">
        <f t="shared" si="38"/>
        <v/>
      </c>
      <c r="F106" s="152" t="str">
        <f t="shared" si="38"/>
        <v/>
      </c>
      <c r="G106" s="152" t="str">
        <f t="shared" si="38"/>
        <v/>
      </c>
      <c r="H106" s="152" t="str">
        <f t="shared" si="38"/>
        <v/>
      </c>
      <c r="I106" s="152" t="str">
        <f t="shared" si="38"/>
        <v/>
      </c>
      <c r="J106" s="152" t="str">
        <f t="shared" si="38"/>
        <v/>
      </c>
      <c r="K106" s="152" t="str">
        <f t="shared" si="38"/>
        <v/>
      </c>
      <c r="L106" s="152" t="str">
        <f t="shared" si="38"/>
        <v/>
      </c>
      <c r="M106" s="152" t="str">
        <f t="shared" si="38"/>
        <v/>
      </c>
      <c r="N106" s="130">
        <f>SUM(B106:M106)</f>
        <v>0</v>
      </c>
    </row>
    <row r="107" spans="1:14" ht="16.5" x14ac:dyDescent="0.3">
      <c r="B107" s="566"/>
      <c r="C107" s="566"/>
      <c r="D107" s="566"/>
      <c r="E107" s="566"/>
      <c r="F107" s="566"/>
    </row>
  </sheetData>
  <mergeCells count="14">
    <mergeCell ref="J26:V26"/>
    <mergeCell ref="A52:D52"/>
    <mergeCell ref="B107:F107"/>
    <mergeCell ref="A36:C36"/>
    <mergeCell ref="A9:C9"/>
    <mergeCell ref="D9:I9"/>
    <mergeCell ref="A10:A11"/>
    <mergeCell ref="B10:I10"/>
    <mergeCell ref="A18:C18"/>
    <mergeCell ref="A19:A20"/>
    <mergeCell ref="B19:I19"/>
    <mergeCell ref="A27:C27"/>
    <mergeCell ref="A28:A29"/>
    <mergeCell ref="B28:I2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9B9D0-2990-4C64-AB4B-D17470AD55AF}">
  <sheetPr codeName="Sheet7"/>
  <dimension ref="A1:P132"/>
  <sheetViews>
    <sheetView zoomScale="99" zoomScaleNormal="80" workbookViewId="0">
      <selection activeCell="C5" sqref="C5"/>
    </sheetView>
  </sheetViews>
  <sheetFormatPr defaultColWidth="8.85546875" defaultRowHeight="15" x14ac:dyDescent="0.25"/>
  <cols>
    <col min="1" max="1" width="29.7109375" customWidth="1"/>
    <col min="2" max="13" width="14.85546875" customWidth="1"/>
    <col min="14" max="14" width="21.140625" customWidth="1"/>
    <col min="15" max="15" width="20.85546875" customWidth="1"/>
    <col min="16" max="19" width="12.7109375" customWidth="1"/>
    <col min="20" max="22" width="10.42578125" bestFit="1" customWidth="1"/>
  </cols>
  <sheetData>
    <row r="1" spans="1:16" ht="14.45" customHeight="1" x14ac:dyDescent="0.3">
      <c r="A1" s="4" t="s">
        <v>970</v>
      </c>
      <c r="B1" s="167" t="s">
        <v>5</v>
      </c>
      <c r="C1" s="158"/>
      <c r="D1" s="3"/>
      <c r="E1" s="3"/>
      <c r="F1" s="3"/>
      <c r="G1" s="3"/>
      <c r="H1" s="3"/>
      <c r="I1" s="3"/>
      <c r="J1" s="3"/>
      <c r="K1" s="3"/>
      <c r="L1" s="3"/>
      <c r="M1" s="3"/>
    </row>
    <row r="2" spans="1:16" ht="16.5" x14ac:dyDescent="0.3">
      <c r="A2" s="4"/>
      <c r="B2" s="3"/>
      <c r="C2" s="3"/>
      <c r="D2" s="3"/>
      <c r="E2" s="3"/>
      <c r="F2" s="3"/>
      <c r="G2" s="3"/>
      <c r="H2" s="3"/>
      <c r="I2" s="3"/>
      <c r="J2" s="3"/>
      <c r="K2" s="3"/>
      <c r="L2" s="3"/>
      <c r="M2" s="3"/>
    </row>
    <row r="3" spans="1:16" ht="16.5" x14ac:dyDescent="0.3">
      <c r="A3" s="43" t="s">
        <v>6</v>
      </c>
      <c r="B3" s="38"/>
      <c r="C3" s="3"/>
      <c r="D3" s="3"/>
      <c r="E3" s="3"/>
      <c r="F3" s="3"/>
      <c r="G3" s="3"/>
      <c r="H3" s="3"/>
      <c r="I3" s="3"/>
      <c r="J3" s="3"/>
      <c r="K3" s="3"/>
      <c r="L3" s="3"/>
      <c r="M3" s="3"/>
    </row>
    <row r="4" spans="1:16" ht="16.5" x14ac:dyDescent="0.3">
      <c r="A4" s="43" t="s">
        <v>7</v>
      </c>
      <c r="B4" s="246">
        <f>'Urchins Bioerosion'!B4</f>
        <v>0</v>
      </c>
      <c r="C4" s="3"/>
      <c r="D4" s="3"/>
      <c r="E4" s="3"/>
      <c r="F4" s="3"/>
      <c r="G4" s="3"/>
      <c r="H4" s="3"/>
      <c r="I4" s="3"/>
      <c r="J4" s="3"/>
      <c r="K4" s="3"/>
      <c r="L4" s="3"/>
      <c r="M4" s="3"/>
    </row>
    <row r="5" spans="1:16" ht="18" x14ac:dyDescent="0.3">
      <c r="A5" s="43" t="s">
        <v>8</v>
      </c>
      <c r="B5" s="246">
        <f>'Urchins Bioerosion'!B5</f>
        <v>0</v>
      </c>
      <c r="C5" s="3"/>
      <c r="D5" s="3"/>
      <c r="E5" s="3"/>
      <c r="F5" s="3"/>
      <c r="G5" s="3"/>
      <c r="H5" s="3"/>
      <c r="I5" s="3"/>
      <c r="J5" s="3"/>
      <c r="K5" s="3"/>
      <c r="L5" s="3"/>
      <c r="M5" s="3"/>
    </row>
    <row r="6" spans="1:16" ht="16.5" x14ac:dyDescent="0.3">
      <c r="A6" s="4"/>
      <c r="B6" s="4"/>
      <c r="C6" s="3"/>
      <c r="D6" s="3"/>
      <c r="E6" s="3"/>
      <c r="F6" s="3"/>
      <c r="G6" s="3"/>
      <c r="H6" s="3"/>
      <c r="I6" s="3"/>
      <c r="J6" s="3"/>
      <c r="K6" s="3"/>
      <c r="L6" s="3"/>
      <c r="M6" s="3"/>
    </row>
    <row r="7" spans="1:16" ht="18" x14ac:dyDescent="0.3">
      <c r="A7" s="43" t="s">
        <v>41</v>
      </c>
      <c r="B7" s="81">
        <f>B4*B5</f>
        <v>0</v>
      </c>
      <c r="C7" s="3"/>
      <c r="D7" s="3"/>
      <c r="E7" s="86"/>
      <c r="F7" s="86"/>
      <c r="G7" s="86"/>
      <c r="H7" s="86"/>
      <c r="I7" s="86"/>
      <c r="J7" s="86"/>
      <c r="K7" s="86"/>
      <c r="L7" s="86"/>
    </row>
    <row r="8" spans="1:16" ht="16.5" x14ac:dyDescent="0.3">
      <c r="A8" s="3"/>
      <c r="B8" s="3"/>
      <c r="C8" s="3"/>
      <c r="D8" s="3"/>
      <c r="E8" s="3"/>
      <c r="K8" s="3"/>
      <c r="L8" s="3"/>
      <c r="M8" s="3"/>
      <c r="N8" s="3"/>
      <c r="O8" s="3"/>
    </row>
    <row r="9" spans="1:16" ht="16.5" x14ac:dyDescent="0.3">
      <c r="A9" s="559" t="s">
        <v>42</v>
      </c>
      <c r="B9" s="559"/>
      <c r="C9" s="559"/>
      <c r="D9" s="219"/>
      <c r="E9" s="212"/>
      <c r="F9" s="219"/>
      <c r="G9" s="212" t="s">
        <v>798</v>
      </c>
      <c r="H9" s="219"/>
      <c r="I9" s="219"/>
      <c r="J9" s="219"/>
    </row>
    <row r="10" spans="1:16" ht="16.5" x14ac:dyDescent="0.3">
      <c r="A10" s="567" t="s">
        <v>44</v>
      </c>
      <c r="B10" s="568" t="s">
        <v>45</v>
      </c>
      <c r="C10" s="569"/>
      <c r="D10" s="569"/>
      <c r="E10" s="569"/>
      <c r="F10" s="569"/>
      <c r="G10" s="570"/>
      <c r="M10" s="15"/>
      <c r="N10" s="15"/>
      <c r="O10" s="15"/>
      <c r="P10" s="16"/>
    </row>
    <row r="11" spans="1:16" ht="16.5" x14ac:dyDescent="0.3">
      <c r="A11" s="567"/>
      <c r="B11" s="345" t="s">
        <v>46</v>
      </c>
      <c r="C11" s="345" t="s">
        <v>47</v>
      </c>
      <c r="D11" s="345" t="s">
        <v>48</v>
      </c>
      <c r="E11" s="345" t="s">
        <v>49</v>
      </c>
      <c r="F11" s="345" t="s">
        <v>50</v>
      </c>
      <c r="G11" s="345" t="s">
        <v>766</v>
      </c>
      <c r="J11" s="168"/>
      <c r="K11" s="168"/>
    </row>
    <row r="12" spans="1:16" ht="16.5" x14ac:dyDescent="0.3">
      <c r="A12" s="358" t="s">
        <v>53</v>
      </c>
      <c r="B12" s="246">
        <f>'Urchins Bioerosion'!B12</f>
        <v>0</v>
      </c>
      <c r="C12" s="246">
        <f>'Urchins Bioerosion'!C12</f>
        <v>0</v>
      </c>
      <c r="D12" s="246">
        <f>'Urchins Bioerosion'!D12</f>
        <v>0</v>
      </c>
      <c r="E12" s="246">
        <f>'Urchins Bioerosion'!E12</f>
        <v>0</v>
      </c>
      <c r="F12" s="246">
        <f>'Urchins Bioerosion'!F12</f>
        <v>0</v>
      </c>
      <c r="G12" s="246">
        <f>'Urchins Bioerosion'!G12</f>
        <v>0</v>
      </c>
      <c r="K12" s="218"/>
    </row>
    <row r="13" spans="1:16" ht="16.5" x14ac:dyDescent="0.3">
      <c r="A13" s="358" t="s">
        <v>54</v>
      </c>
      <c r="B13" s="246">
        <f>'Urchins Bioerosion'!B13</f>
        <v>0</v>
      </c>
      <c r="C13" s="246">
        <f>'Urchins Bioerosion'!C13</f>
        <v>0</v>
      </c>
      <c r="D13" s="246">
        <f>'Urchins Bioerosion'!D13</f>
        <v>0</v>
      </c>
      <c r="E13" s="246">
        <f>'Urchins Bioerosion'!E13</f>
        <v>0</v>
      </c>
      <c r="F13" s="246">
        <f>'Urchins Bioerosion'!F13</f>
        <v>0</v>
      </c>
      <c r="G13" s="246">
        <f>'Urchins Bioerosion'!G13</f>
        <v>0</v>
      </c>
      <c r="K13" s="218"/>
    </row>
    <row r="14" spans="1:16" ht="16.5" x14ac:dyDescent="0.3">
      <c r="A14" s="358" t="s">
        <v>55</v>
      </c>
      <c r="B14" s="246">
        <f>'Urchins Bioerosion'!B14</f>
        <v>0</v>
      </c>
      <c r="C14" s="246">
        <f>'Urchins Bioerosion'!C14</f>
        <v>0</v>
      </c>
      <c r="D14" s="246">
        <f>'Urchins Bioerosion'!D14</f>
        <v>0</v>
      </c>
      <c r="E14" s="246">
        <f>'Urchins Bioerosion'!E14</f>
        <v>0</v>
      </c>
      <c r="F14" s="246">
        <f>'Urchins Bioerosion'!F14</f>
        <v>0</v>
      </c>
      <c r="G14" s="246">
        <f>'Urchins Bioerosion'!G14</f>
        <v>0</v>
      </c>
      <c r="K14" s="218"/>
    </row>
    <row r="15" spans="1:16" ht="16.5" x14ac:dyDescent="0.3">
      <c r="A15" s="358" t="s">
        <v>56</v>
      </c>
      <c r="B15" s="246">
        <f>'Urchins Bioerosion'!B15</f>
        <v>0</v>
      </c>
      <c r="C15" s="246">
        <f>'Urchins Bioerosion'!C15</f>
        <v>0</v>
      </c>
      <c r="D15" s="246">
        <f>'Urchins Bioerosion'!D15</f>
        <v>0</v>
      </c>
      <c r="E15" s="246">
        <f>'Urchins Bioerosion'!E15</f>
        <v>0</v>
      </c>
      <c r="F15" s="246">
        <f>'Urchins Bioerosion'!F15</f>
        <v>0</v>
      </c>
      <c r="G15" s="246">
        <f>'Urchins Bioerosion'!G15</f>
        <v>0</v>
      </c>
      <c r="K15" s="218"/>
    </row>
    <row r="16" spans="1:16" ht="16.5" x14ac:dyDescent="0.3">
      <c r="A16" s="359" t="s">
        <v>57</v>
      </c>
      <c r="B16" s="246">
        <f>'Urchins Bioerosion'!B16</f>
        <v>0</v>
      </c>
      <c r="C16" s="246">
        <f>'Urchins Bioerosion'!C16</f>
        <v>0</v>
      </c>
      <c r="D16" s="246">
        <f>'Urchins Bioerosion'!D16</f>
        <v>0</v>
      </c>
      <c r="E16" s="246">
        <f>'Urchins Bioerosion'!E16</f>
        <v>0</v>
      </c>
      <c r="F16" s="246">
        <f>'Urchins Bioerosion'!F16</f>
        <v>0</v>
      </c>
      <c r="G16" s="246">
        <f>'Urchins Bioerosion'!G16</f>
        <v>0</v>
      </c>
      <c r="K16" s="218"/>
    </row>
    <row r="17" spans="1:9" ht="16.5" x14ac:dyDescent="0.3">
      <c r="A17" s="17"/>
    </row>
    <row r="21" spans="1:9" ht="16.5" x14ac:dyDescent="0.3">
      <c r="A21" s="211" t="s">
        <v>858</v>
      </c>
      <c r="B21" s="211"/>
      <c r="C21" s="4"/>
      <c r="D21" s="4"/>
      <c r="E21" s="4"/>
    </row>
    <row r="22" spans="1:9" ht="16.5" x14ac:dyDescent="0.3">
      <c r="A22" s="567" t="s">
        <v>44</v>
      </c>
      <c r="B22" s="568" t="s">
        <v>45</v>
      </c>
      <c r="C22" s="569"/>
      <c r="D22" s="569"/>
      <c r="E22" s="569"/>
      <c r="F22" s="569"/>
      <c r="G22" s="570"/>
    </row>
    <row r="23" spans="1:9" ht="16.5" x14ac:dyDescent="0.3">
      <c r="A23" s="567"/>
      <c r="B23" s="345" t="s">
        <v>46</v>
      </c>
      <c r="C23" s="345" t="s">
        <v>47</v>
      </c>
      <c r="D23" s="345" t="s">
        <v>48</v>
      </c>
      <c r="E23" s="345" t="s">
        <v>49</v>
      </c>
      <c r="F23" s="345" t="s">
        <v>50</v>
      </c>
      <c r="G23" s="345" t="s">
        <v>766</v>
      </c>
      <c r="H23" s="3" t="s">
        <v>771</v>
      </c>
    </row>
    <row r="24" spans="1:9" ht="16.5" x14ac:dyDescent="0.3">
      <c r="A24" s="64" t="s">
        <v>53</v>
      </c>
      <c r="B24" s="35">
        <v>0.84173229999999999</v>
      </c>
      <c r="C24" s="35">
        <v>5.6516314000000003</v>
      </c>
      <c r="D24" s="35">
        <v>15.1541149</v>
      </c>
      <c r="E24" s="35">
        <v>29.349182800000001</v>
      </c>
      <c r="F24" s="35">
        <v>44.479834799999999</v>
      </c>
      <c r="G24" s="35">
        <v>44.479834799999999</v>
      </c>
      <c r="H24" s="3" t="s">
        <v>769</v>
      </c>
      <c r="I24" s="3"/>
    </row>
    <row r="25" spans="1:9" ht="16.5" x14ac:dyDescent="0.3">
      <c r="A25" s="64" t="s">
        <v>54</v>
      </c>
      <c r="B25" s="35">
        <v>1.0718193</v>
      </c>
      <c r="C25" s="35">
        <v>7.1965006999999996</v>
      </c>
      <c r="D25" s="35">
        <v>19.296481100000001</v>
      </c>
      <c r="E25" s="35">
        <v>19.296481100000001</v>
      </c>
      <c r="F25" s="35">
        <v>19.296481100000001</v>
      </c>
      <c r="G25" s="35">
        <v>19.296481100000001</v>
      </c>
      <c r="H25" s="3" t="s">
        <v>769</v>
      </c>
      <c r="I25" s="3"/>
    </row>
    <row r="26" spans="1:9" ht="16.5" x14ac:dyDescent="0.3">
      <c r="A26" s="64" t="s">
        <v>55</v>
      </c>
      <c r="B26" s="35">
        <v>1.0718193</v>
      </c>
      <c r="C26" s="35">
        <v>7.1965006999999996</v>
      </c>
      <c r="D26" s="35">
        <v>19.296481100000001</v>
      </c>
      <c r="E26" s="35">
        <v>19.296481100000001</v>
      </c>
      <c r="F26" s="35">
        <v>19.296481100000001</v>
      </c>
      <c r="G26" s="35">
        <v>19.296481100000001</v>
      </c>
      <c r="H26" s="3" t="s">
        <v>769</v>
      </c>
      <c r="I26" s="3"/>
    </row>
    <row r="27" spans="1:9" ht="16.5" x14ac:dyDescent="0.3">
      <c r="A27" s="64" t="s">
        <v>56</v>
      </c>
      <c r="B27" s="35">
        <v>1.5738686</v>
      </c>
      <c r="C27" s="35">
        <v>10.567403499999999</v>
      </c>
      <c r="D27" s="35">
        <v>24.381253699999998</v>
      </c>
      <c r="E27" s="35">
        <v>24.381253699999998</v>
      </c>
      <c r="F27" s="35">
        <v>24.381253699999998</v>
      </c>
      <c r="G27" s="35">
        <v>24.381253699999998</v>
      </c>
      <c r="H27" s="3" t="s">
        <v>769</v>
      </c>
      <c r="I27" s="3"/>
    </row>
    <row r="28" spans="1:9" ht="16.5" x14ac:dyDescent="0.3">
      <c r="A28" s="8" t="s">
        <v>57</v>
      </c>
      <c r="B28" s="18">
        <f t="shared" ref="B28:F28" si="0">AVERAGE(B24:B27)</f>
        <v>1.1398098750000001</v>
      </c>
      <c r="C28" s="18">
        <f t="shared" si="0"/>
        <v>7.6530090749999999</v>
      </c>
      <c r="D28" s="18">
        <f t="shared" si="0"/>
        <v>19.5320827</v>
      </c>
      <c r="E28" s="18">
        <f t="shared" si="0"/>
        <v>23.080849675000003</v>
      </c>
      <c r="F28" s="18">
        <f t="shared" si="0"/>
        <v>26.863512675000003</v>
      </c>
      <c r="G28" s="18">
        <f>AVERAGE(G24:G27)</f>
        <v>26.863512675000003</v>
      </c>
      <c r="H28" s="3" t="s">
        <v>63</v>
      </c>
    </row>
    <row r="31" spans="1:9" ht="16.5" x14ac:dyDescent="0.3">
      <c r="A31" s="211" t="s">
        <v>857</v>
      </c>
      <c r="B31" s="4"/>
      <c r="C31" s="4"/>
      <c r="D31" s="4"/>
      <c r="E31" s="4"/>
    </row>
    <row r="32" spans="1:9" ht="16.5" x14ac:dyDescent="0.3">
      <c r="A32" s="567" t="s">
        <v>44</v>
      </c>
      <c r="B32" s="568" t="s">
        <v>45</v>
      </c>
      <c r="C32" s="569"/>
      <c r="D32" s="569"/>
      <c r="E32" s="569"/>
      <c r="F32" s="569"/>
      <c r="G32" s="570"/>
    </row>
    <row r="33" spans="1:8" ht="16.5" x14ac:dyDescent="0.3">
      <c r="A33" s="567"/>
      <c r="B33" s="345" t="s">
        <v>46</v>
      </c>
      <c r="C33" s="345" t="s">
        <v>47</v>
      </c>
      <c r="D33" s="345" t="s">
        <v>48</v>
      </c>
      <c r="E33" s="345" t="s">
        <v>49</v>
      </c>
      <c r="F33" s="345" t="s">
        <v>50</v>
      </c>
      <c r="G33" s="345" t="s">
        <v>766</v>
      </c>
      <c r="H33" s="3" t="s">
        <v>61</v>
      </c>
    </row>
    <row r="34" spans="1:8" ht="16.5" x14ac:dyDescent="0.3">
      <c r="A34" s="64" t="s">
        <v>53</v>
      </c>
      <c r="B34" s="35">
        <v>0.22141625000000001</v>
      </c>
      <c r="C34" s="35">
        <v>0.7265069999999999</v>
      </c>
      <c r="D34" s="35">
        <v>1.4292073333333333</v>
      </c>
      <c r="E34" s="35">
        <v>2.60351175</v>
      </c>
      <c r="F34" s="35">
        <v>5.2032178333333334</v>
      </c>
      <c r="G34" s="35">
        <v>5.2032178333333334</v>
      </c>
      <c r="H34" s="3" t="s">
        <v>769</v>
      </c>
    </row>
    <row r="35" spans="1:8" ht="16.5" x14ac:dyDescent="0.3">
      <c r="A35" s="64" t="s">
        <v>54</v>
      </c>
      <c r="B35" s="35">
        <v>0.69418458333333344</v>
      </c>
      <c r="C35" s="35">
        <v>2.4635730833333334</v>
      </c>
      <c r="D35" s="35">
        <v>5.9676817500000006</v>
      </c>
      <c r="E35" s="35">
        <v>5.9676817500000006</v>
      </c>
      <c r="F35" s="35">
        <v>5.9676817500000006</v>
      </c>
      <c r="G35" s="35">
        <v>5.9676817500000006</v>
      </c>
      <c r="H35" s="3" t="s">
        <v>769</v>
      </c>
    </row>
    <row r="36" spans="1:8" ht="16.5" x14ac:dyDescent="0.3">
      <c r="A36" s="64" t="s">
        <v>55</v>
      </c>
      <c r="B36" s="35">
        <v>0.69418458333333344</v>
      </c>
      <c r="C36" s="35">
        <v>2.4635730833333334</v>
      </c>
      <c r="D36" s="35">
        <v>5.9676817500000006</v>
      </c>
      <c r="E36" s="35">
        <v>5.9676817500000006</v>
      </c>
      <c r="F36" s="35">
        <v>5.9676817500000006</v>
      </c>
      <c r="G36" s="35">
        <v>5.9676817500000006</v>
      </c>
      <c r="H36" s="3" t="s">
        <v>769</v>
      </c>
    </row>
    <row r="37" spans="1:8" ht="16.5" x14ac:dyDescent="0.3">
      <c r="A37" s="64" t="s">
        <v>56</v>
      </c>
      <c r="B37" s="35">
        <v>0.47536616666666665</v>
      </c>
      <c r="C37" s="35">
        <v>1.8352691666666667</v>
      </c>
      <c r="D37" s="35">
        <v>5.0787760000000004</v>
      </c>
      <c r="E37" s="35">
        <v>5.0787760000000004</v>
      </c>
      <c r="F37" s="35">
        <v>5.0787760000000004</v>
      </c>
      <c r="G37" s="35">
        <v>5.0787760000000004</v>
      </c>
      <c r="H37" s="3" t="s">
        <v>769</v>
      </c>
    </row>
    <row r="38" spans="1:8" ht="16.5" x14ac:dyDescent="0.3">
      <c r="A38" s="8" t="s">
        <v>57</v>
      </c>
      <c r="B38" s="18">
        <f>AVERAGE(B34:B37)</f>
        <v>0.52128789583333335</v>
      </c>
      <c r="C38" s="18">
        <f t="shared" ref="C38:F38" si="1">AVERAGE(C34:C37)</f>
        <v>1.8722305833333333</v>
      </c>
      <c r="D38" s="18">
        <f t="shared" si="1"/>
        <v>4.6108367083333341</v>
      </c>
      <c r="E38" s="18">
        <f t="shared" si="1"/>
        <v>4.9044128125000004</v>
      </c>
      <c r="F38" s="18">
        <f t="shared" si="1"/>
        <v>5.554339333333334</v>
      </c>
      <c r="G38" s="18">
        <f>AVERAGE(G34:G37)</f>
        <v>5.554339333333334</v>
      </c>
      <c r="H38" s="3" t="s">
        <v>63</v>
      </c>
    </row>
    <row r="39" spans="1:8" ht="16.5" x14ac:dyDescent="0.3">
      <c r="A39" s="4"/>
    </row>
    <row r="41" spans="1:8" ht="18" x14ac:dyDescent="0.3">
      <c r="A41" s="211" t="s">
        <v>856</v>
      </c>
      <c r="B41" s="211"/>
      <c r="C41" s="211"/>
      <c r="D41" s="4"/>
      <c r="E41" s="4"/>
    </row>
    <row r="42" spans="1:8" ht="16.5" x14ac:dyDescent="0.3">
      <c r="A42" s="567" t="s">
        <v>44</v>
      </c>
      <c r="B42" s="568" t="s">
        <v>45</v>
      </c>
      <c r="C42" s="569"/>
      <c r="D42" s="569"/>
      <c r="E42" s="569"/>
      <c r="F42" s="569"/>
      <c r="G42" s="570"/>
    </row>
    <row r="43" spans="1:8" ht="16.5" x14ac:dyDescent="0.3">
      <c r="A43" s="567"/>
      <c r="B43" s="345" t="s">
        <v>46</v>
      </c>
      <c r="C43" s="345" t="s">
        <v>47</v>
      </c>
      <c r="D43" s="345" t="s">
        <v>48</v>
      </c>
      <c r="E43" s="345" t="s">
        <v>49</v>
      </c>
      <c r="F43" s="345" t="s">
        <v>50</v>
      </c>
      <c r="G43" s="345" t="s">
        <v>766</v>
      </c>
      <c r="H43" s="3" t="s">
        <v>61</v>
      </c>
    </row>
    <row r="44" spans="1:8" ht="16.5" x14ac:dyDescent="0.3">
      <c r="A44" s="64" t="s">
        <v>53</v>
      </c>
      <c r="B44" s="35">
        <f t="shared" ref="B44:G47" si="2">B24/B34</f>
        <v>3.8015832171306303</v>
      </c>
      <c r="C44" s="35">
        <f t="shared" si="2"/>
        <v>7.7791836830202614</v>
      </c>
      <c r="D44" s="35">
        <f t="shared" si="2"/>
        <v>10.603160609773903</v>
      </c>
      <c r="E44" s="35">
        <f t="shared" si="2"/>
        <v>11.272921199606648</v>
      </c>
      <c r="F44" s="35">
        <f t="shared" si="2"/>
        <v>8.5485244371375693</v>
      </c>
      <c r="G44" s="35">
        <f t="shared" si="2"/>
        <v>8.5485244371375693</v>
      </c>
      <c r="H44" s="3" t="s">
        <v>769</v>
      </c>
    </row>
    <row r="45" spans="1:8" ht="16.5" x14ac:dyDescent="0.3">
      <c r="A45" s="64" t="s">
        <v>54</v>
      </c>
      <c r="B45" s="35">
        <f t="shared" si="2"/>
        <v>1.5439975558854122</v>
      </c>
      <c r="C45" s="35">
        <f t="shared" si="2"/>
        <v>2.9211638772505122</v>
      </c>
      <c r="D45" s="35">
        <f t="shared" si="2"/>
        <v>3.2334970107948533</v>
      </c>
      <c r="E45" s="35">
        <f t="shared" si="2"/>
        <v>3.2334970107948533</v>
      </c>
      <c r="F45" s="35">
        <f t="shared" si="2"/>
        <v>3.2334970107948533</v>
      </c>
      <c r="G45" s="35">
        <f t="shared" si="2"/>
        <v>3.2334970107948533</v>
      </c>
      <c r="H45" s="3" t="s">
        <v>769</v>
      </c>
    </row>
    <row r="46" spans="1:8" ht="16.5" x14ac:dyDescent="0.3">
      <c r="A46" s="64" t="s">
        <v>55</v>
      </c>
      <c r="B46" s="35">
        <f t="shared" si="2"/>
        <v>1.5439975558854122</v>
      </c>
      <c r="C46" s="35">
        <f t="shared" si="2"/>
        <v>2.9211638772505122</v>
      </c>
      <c r="D46" s="35">
        <f t="shared" si="2"/>
        <v>3.2334970107948533</v>
      </c>
      <c r="E46" s="35">
        <f t="shared" si="2"/>
        <v>3.2334970107948533</v>
      </c>
      <c r="F46" s="35">
        <f t="shared" si="2"/>
        <v>3.2334970107948533</v>
      </c>
      <c r="G46" s="35">
        <f t="shared" si="2"/>
        <v>3.2334970107948533</v>
      </c>
      <c r="H46" s="3" t="s">
        <v>769</v>
      </c>
    </row>
    <row r="47" spans="1:8" ht="16.5" x14ac:dyDescent="0.3">
      <c r="A47" s="64" t="s">
        <v>56</v>
      </c>
      <c r="B47" s="35">
        <f t="shared" si="2"/>
        <v>3.3108553160949263</v>
      </c>
      <c r="C47" s="35">
        <f t="shared" si="2"/>
        <v>5.7579583921159605</v>
      </c>
      <c r="D47" s="35">
        <f t="shared" si="2"/>
        <v>4.8006160736366397</v>
      </c>
      <c r="E47" s="35">
        <f t="shared" si="2"/>
        <v>4.8006160736366397</v>
      </c>
      <c r="F47" s="35">
        <f t="shared" si="2"/>
        <v>4.8006160736366397</v>
      </c>
      <c r="G47" s="35">
        <f t="shared" si="2"/>
        <v>4.8006160736366397</v>
      </c>
      <c r="H47" s="3" t="s">
        <v>769</v>
      </c>
    </row>
    <row r="48" spans="1:8" ht="16.5" x14ac:dyDescent="0.3">
      <c r="A48" s="8" t="s">
        <v>57</v>
      </c>
      <c r="B48" s="18">
        <f>AVERAGE(B44:B47)</f>
        <v>2.550108411249095</v>
      </c>
      <c r="C48" s="18">
        <f t="shared" ref="C48:F48" si="3">AVERAGE(C44:C47)</f>
        <v>4.844867457409312</v>
      </c>
      <c r="D48" s="18">
        <f t="shared" si="3"/>
        <v>5.4676926762500626</v>
      </c>
      <c r="E48" s="18">
        <f t="shared" si="3"/>
        <v>5.6351328237082488</v>
      </c>
      <c r="F48" s="18">
        <f t="shared" si="3"/>
        <v>4.9540336330909787</v>
      </c>
      <c r="G48" s="18">
        <f>AVERAGE(G44:G47)</f>
        <v>4.9540336330909787</v>
      </c>
      <c r="H48" s="3" t="s">
        <v>63</v>
      </c>
    </row>
    <row r="51" spans="1:15" ht="18" x14ac:dyDescent="0.3">
      <c r="A51" s="211" t="s">
        <v>855</v>
      </c>
      <c r="B51" s="211"/>
      <c r="C51" s="211"/>
      <c r="D51" s="43"/>
      <c r="E51" s="23"/>
      <c r="G51" s="3"/>
      <c r="H51" s="3"/>
      <c r="I51" s="3"/>
    </row>
    <row r="52" spans="1:15" ht="16.5" x14ac:dyDescent="0.3">
      <c r="A52" s="567" t="s">
        <v>44</v>
      </c>
      <c r="B52" s="568" t="s">
        <v>45</v>
      </c>
      <c r="C52" s="569"/>
      <c r="D52" s="569"/>
      <c r="E52" s="569"/>
      <c r="F52" s="569"/>
      <c r="G52" s="570"/>
    </row>
    <row r="53" spans="1:15" ht="16.5" x14ac:dyDescent="0.3">
      <c r="A53" s="567"/>
      <c r="B53" s="345" t="s">
        <v>46</v>
      </c>
      <c r="C53" s="345" t="s">
        <v>47</v>
      </c>
      <c r="D53" s="345" t="s">
        <v>48</v>
      </c>
      <c r="E53" s="345" t="s">
        <v>49</v>
      </c>
      <c r="F53" s="345" t="s">
        <v>50</v>
      </c>
      <c r="G53" s="345" t="s">
        <v>766</v>
      </c>
    </row>
    <row r="54" spans="1:15" ht="16.5" x14ac:dyDescent="0.3">
      <c r="A54" s="64" t="s">
        <v>53</v>
      </c>
      <c r="B54" s="35" t="e">
        <f t="shared" ref="B54:G58" si="4">((B12*B44))/1000/$B$7</f>
        <v>#DIV/0!</v>
      </c>
      <c r="C54" s="35" t="e">
        <f t="shared" si="4"/>
        <v>#DIV/0!</v>
      </c>
      <c r="D54" s="35" t="e">
        <f t="shared" si="4"/>
        <v>#DIV/0!</v>
      </c>
      <c r="E54" s="35" t="e">
        <f t="shared" si="4"/>
        <v>#DIV/0!</v>
      </c>
      <c r="F54" s="35" t="e">
        <f t="shared" si="4"/>
        <v>#DIV/0!</v>
      </c>
      <c r="G54" s="35" t="e">
        <f t="shared" si="4"/>
        <v>#DIV/0!</v>
      </c>
    </row>
    <row r="55" spans="1:15" ht="16.5" x14ac:dyDescent="0.3">
      <c r="A55" s="64" t="s">
        <v>54</v>
      </c>
      <c r="B55" s="35" t="e">
        <f t="shared" si="4"/>
        <v>#DIV/0!</v>
      </c>
      <c r="C55" s="35" t="e">
        <f t="shared" si="4"/>
        <v>#DIV/0!</v>
      </c>
      <c r="D55" s="35" t="e">
        <f t="shared" si="4"/>
        <v>#DIV/0!</v>
      </c>
      <c r="E55" s="35" t="e">
        <f t="shared" si="4"/>
        <v>#DIV/0!</v>
      </c>
      <c r="F55" s="35" t="e">
        <f t="shared" si="4"/>
        <v>#DIV/0!</v>
      </c>
      <c r="G55" s="35" t="e">
        <f t="shared" si="4"/>
        <v>#DIV/0!</v>
      </c>
    </row>
    <row r="56" spans="1:15" ht="16.5" x14ac:dyDescent="0.3">
      <c r="A56" s="64" t="s">
        <v>55</v>
      </c>
      <c r="B56" s="35" t="e">
        <f t="shared" si="4"/>
        <v>#DIV/0!</v>
      </c>
      <c r="C56" s="35" t="e">
        <f t="shared" si="4"/>
        <v>#DIV/0!</v>
      </c>
      <c r="D56" s="35" t="e">
        <f t="shared" si="4"/>
        <v>#DIV/0!</v>
      </c>
      <c r="E56" s="35" t="e">
        <f t="shared" si="4"/>
        <v>#DIV/0!</v>
      </c>
      <c r="F56" s="35" t="e">
        <f t="shared" si="4"/>
        <v>#DIV/0!</v>
      </c>
      <c r="G56" s="35" t="e">
        <f t="shared" si="4"/>
        <v>#DIV/0!</v>
      </c>
    </row>
    <row r="57" spans="1:15" ht="16.5" x14ac:dyDescent="0.3">
      <c r="A57" s="64" t="s">
        <v>56</v>
      </c>
      <c r="B57" s="35" t="e">
        <f t="shared" si="4"/>
        <v>#DIV/0!</v>
      </c>
      <c r="C57" s="35" t="e">
        <f t="shared" si="4"/>
        <v>#DIV/0!</v>
      </c>
      <c r="D57" s="35" t="e">
        <f t="shared" si="4"/>
        <v>#DIV/0!</v>
      </c>
      <c r="E57" s="35" t="e">
        <f t="shared" si="4"/>
        <v>#DIV/0!</v>
      </c>
      <c r="F57" s="35" t="e">
        <f t="shared" si="4"/>
        <v>#DIV/0!</v>
      </c>
      <c r="G57" s="35" t="e">
        <f t="shared" si="4"/>
        <v>#DIV/0!</v>
      </c>
    </row>
    <row r="58" spans="1:15" ht="16.5" x14ac:dyDescent="0.3">
      <c r="A58" s="64" t="s">
        <v>57</v>
      </c>
      <c r="B58" s="35" t="e">
        <f t="shared" si="4"/>
        <v>#DIV/0!</v>
      </c>
      <c r="C58" s="35" t="e">
        <f t="shared" si="4"/>
        <v>#DIV/0!</v>
      </c>
      <c r="D58" s="35" t="e">
        <f t="shared" si="4"/>
        <v>#DIV/0!</v>
      </c>
      <c r="E58" s="35" t="e">
        <f t="shared" si="4"/>
        <v>#DIV/0!</v>
      </c>
      <c r="F58" s="35" t="e">
        <f t="shared" si="4"/>
        <v>#DIV/0!</v>
      </c>
      <c r="G58" s="35" t="e">
        <f t="shared" si="4"/>
        <v>#DIV/0!</v>
      </c>
    </row>
    <row r="60" spans="1:15" ht="16.5" x14ac:dyDescent="0.3">
      <c r="O60" s="3"/>
    </row>
    <row r="61" spans="1:15" ht="16.5" x14ac:dyDescent="0.3">
      <c r="A61" s="211" t="s">
        <v>847</v>
      </c>
      <c r="B61" s="211"/>
      <c r="C61" s="211"/>
      <c r="D61" s="43"/>
      <c r="E61" s="3"/>
      <c r="F61" s="3"/>
      <c r="G61" s="3"/>
      <c r="H61" s="4"/>
      <c r="I61" s="3"/>
      <c r="J61" s="3"/>
      <c r="K61" s="3"/>
      <c r="L61" s="3"/>
      <c r="M61" s="3"/>
      <c r="O61" s="3"/>
    </row>
    <row r="62" spans="1:15" ht="16.5" x14ac:dyDescent="0.3">
      <c r="A62" s="346"/>
      <c r="B62" s="342" t="s">
        <v>67</v>
      </c>
      <c r="C62" s="342" t="s">
        <v>68</v>
      </c>
      <c r="D62" s="343" t="s">
        <v>69</v>
      </c>
      <c r="E62" s="342" t="s">
        <v>70</v>
      </c>
      <c r="F62" s="342" t="s">
        <v>71</v>
      </c>
      <c r="G62" s="342" t="s">
        <v>72</v>
      </c>
      <c r="H62" s="342" t="s">
        <v>73</v>
      </c>
      <c r="I62" s="342" t="s">
        <v>74</v>
      </c>
      <c r="J62" s="342" t="s">
        <v>147</v>
      </c>
      <c r="K62" s="342" t="s">
        <v>76</v>
      </c>
      <c r="L62" s="342" t="s">
        <v>77</v>
      </c>
      <c r="M62" s="342" t="s">
        <v>78</v>
      </c>
      <c r="O62" s="3"/>
    </row>
    <row r="63" spans="1:15" ht="16.5" x14ac:dyDescent="0.3">
      <c r="A63" s="347" t="s">
        <v>79</v>
      </c>
      <c r="B63" s="348" t="s">
        <v>80</v>
      </c>
      <c r="C63" s="348" t="s">
        <v>81</v>
      </c>
      <c r="D63" s="348" t="s">
        <v>82</v>
      </c>
      <c r="E63" s="348" t="s">
        <v>83</v>
      </c>
      <c r="F63" s="348" t="s">
        <v>84</v>
      </c>
      <c r="G63" s="348" t="s">
        <v>85</v>
      </c>
      <c r="H63" s="348" t="s">
        <v>86</v>
      </c>
      <c r="I63" s="348" t="s">
        <v>87</v>
      </c>
      <c r="J63" s="348" t="s">
        <v>775</v>
      </c>
      <c r="K63" s="348" t="s">
        <v>89</v>
      </c>
      <c r="L63" s="348" t="s">
        <v>90</v>
      </c>
      <c r="M63" s="348" t="s">
        <v>91</v>
      </c>
      <c r="N63" s="3" t="s">
        <v>61</v>
      </c>
      <c r="O63" s="3"/>
    </row>
    <row r="64" spans="1:15" ht="16.5" x14ac:dyDescent="0.3">
      <c r="A64" s="64" t="s">
        <v>761</v>
      </c>
      <c r="B64" s="35">
        <v>19.603310020000002</v>
      </c>
      <c r="C64" s="35">
        <v>7.5754568999999989</v>
      </c>
      <c r="D64" s="35">
        <v>12.42471127</v>
      </c>
      <c r="E64" s="35">
        <v>5.5473721300000003</v>
      </c>
      <c r="F64" s="35">
        <v>0.59697743999999997</v>
      </c>
      <c r="G64" s="35">
        <v>0.14563827000000001</v>
      </c>
      <c r="H64" s="35">
        <v>5.0062280000000001E-2</v>
      </c>
      <c r="I64" s="35">
        <v>0</v>
      </c>
      <c r="J64" s="35">
        <v>54.056471699999996</v>
      </c>
      <c r="K64" s="35">
        <v>0</v>
      </c>
      <c r="L64" s="35">
        <v>0</v>
      </c>
      <c r="M64" s="35">
        <v>0</v>
      </c>
      <c r="N64" t="s">
        <v>769</v>
      </c>
      <c r="O64" s="3"/>
    </row>
    <row r="65" spans="1:15" ht="16.5" x14ac:dyDescent="0.3">
      <c r="A65" s="64" t="s">
        <v>762</v>
      </c>
      <c r="B65" s="35">
        <v>29.04152753</v>
      </c>
      <c r="C65" s="35">
        <v>20.911320659999998</v>
      </c>
      <c r="D65" s="35">
        <v>14.958256540000001</v>
      </c>
      <c r="E65" s="35">
        <v>6.2796974000000008</v>
      </c>
      <c r="F65" s="35">
        <v>1.0598164999999999</v>
      </c>
      <c r="G65" s="35">
        <v>0.37845367000000002</v>
      </c>
      <c r="H65" s="35">
        <v>1.1156263899999999</v>
      </c>
      <c r="I65" s="35">
        <v>1.8314575100000001</v>
      </c>
      <c r="J65" s="35">
        <v>24.4238438</v>
      </c>
      <c r="K65" s="35">
        <v>0</v>
      </c>
      <c r="L65" s="35">
        <v>0</v>
      </c>
      <c r="M65" s="35">
        <v>0</v>
      </c>
      <c r="N65" t="s">
        <v>769</v>
      </c>
      <c r="O65" s="3"/>
    </row>
    <row r="66" spans="1:15" ht="16.5" x14ac:dyDescent="0.3">
      <c r="A66" s="64" t="s">
        <v>763</v>
      </c>
      <c r="B66" s="35">
        <v>51.800355080000003</v>
      </c>
      <c r="C66" s="35">
        <v>28.353793360000001</v>
      </c>
      <c r="D66" s="35">
        <v>8.3534164999999998</v>
      </c>
      <c r="E66" s="35">
        <v>1.3963255799999998</v>
      </c>
      <c r="F66" s="35">
        <v>0.64650974999999999</v>
      </c>
      <c r="G66" s="35">
        <v>0.15432010999999998</v>
      </c>
      <c r="H66" s="35">
        <v>0.35305411999999997</v>
      </c>
      <c r="I66" s="35">
        <v>0.25384878999999999</v>
      </c>
      <c r="J66" s="35">
        <v>8.6883766999999992</v>
      </c>
      <c r="K66" s="35">
        <v>0</v>
      </c>
      <c r="L66" s="35">
        <v>0</v>
      </c>
      <c r="M66" s="35">
        <v>0</v>
      </c>
      <c r="N66" t="s">
        <v>769</v>
      </c>
      <c r="O66" s="3"/>
    </row>
    <row r="67" spans="1:15" ht="16.5" x14ac:dyDescent="0.3">
      <c r="A67" s="64" t="s">
        <v>764</v>
      </c>
      <c r="B67" s="35">
        <v>58.116535400000004</v>
      </c>
      <c r="C67" s="35">
        <v>27.86717178</v>
      </c>
      <c r="D67" s="35">
        <v>7.5365665400000008</v>
      </c>
      <c r="E67" s="35">
        <v>0.95358414999999996</v>
      </c>
      <c r="F67" s="35">
        <v>0.41625606000000004</v>
      </c>
      <c r="G67" s="35">
        <v>0.35577181000000002</v>
      </c>
      <c r="H67" s="35">
        <v>0.21849577000000003</v>
      </c>
      <c r="I67" s="35">
        <v>0.1275464</v>
      </c>
      <c r="J67" s="35">
        <v>4.4080720900000001</v>
      </c>
      <c r="K67" s="35">
        <v>0</v>
      </c>
      <c r="L67" s="35">
        <v>0</v>
      </c>
      <c r="M67" s="35">
        <v>0</v>
      </c>
      <c r="N67" t="s">
        <v>769</v>
      </c>
      <c r="O67" s="3"/>
    </row>
    <row r="68" spans="1:15" ht="16.5" x14ac:dyDescent="0.3">
      <c r="A68" s="64" t="s">
        <v>765</v>
      </c>
      <c r="B68" s="35">
        <v>58.116535400000004</v>
      </c>
      <c r="C68" s="35">
        <v>27.86717178</v>
      </c>
      <c r="D68" s="35">
        <v>7.5365665400000008</v>
      </c>
      <c r="E68" s="35">
        <v>0.95358414999999996</v>
      </c>
      <c r="F68" s="35">
        <v>0.41625606000000004</v>
      </c>
      <c r="G68" s="35">
        <v>0.35577181000000002</v>
      </c>
      <c r="H68" s="35">
        <v>0.21849577000000003</v>
      </c>
      <c r="I68" s="35">
        <v>0.1275464</v>
      </c>
      <c r="J68" s="35">
        <v>4.4080720900000001</v>
      </c>
      <c r="K68" s="35">
        <v>0</v>
      </c>
      <c r="L68" s="35">
        <v>0</v>
      </c>
      <c r="M68" s="35">
        <v>0</v>
      </c>
      <c r="N68" t="s">
        <v>772</v>
      </c>
      <c r="O68" s="3"/>
    </row>
    <row r="69" spans="1:15" ht="16.5" x14ac:dyDescent="0.3">
      <c r="A69" s="64" t="s">
        <v>755</v>
      </c>
      <c r="B69" s="35">
        <v>14.51818533</v>
      </c>
      <c r="C69" s="35">
        <v>25.252045129999999</v>
      </c>
      <c r="D69" s="35">
        <v>10.95456064</v>
      </c>
      <c r="E69" s="35">
        <v>7.5372402500000009</v>
      </c>
      <c r="F69" s="35">
        <v>1.7537273700000002</v>
      </c>
      <c r="G69" s="35">
        <v>0.21847389</v>
      </c>
      <c r="H69" s="35">
        <v>3.8048120000000005E-2</v>
      </c>
      <c r="I69" s="35">
        <v>2.3294189999999999E-2</v>
      </c>
      <c r="J69" s="35">
        <v>39.704425100000002</v>
      </c>
      <c r="K69" s="35">
        <v>0</v>
      </c>
      <c r="L69" s="35">
        <v>0</v>
      </c>
      <c r="M69" s="35">
        <v>0</v>
      </c>
      <c r="N69" t="s">
        <v>769</v>
      </c>
      <c r="O69" s="3"/>
    </row>
    <row r="70" spans="1:15" ht="16.5" x14ac:dyDescent="0.3">
      <c r="A70" s="64" t="s">
        <v>756</v>
      </c>
      <c r="B70" s="35">
        <v>26.630480460000001</v>
      </c>
      <c r="C70" s="35">
        <v>31.129333390000003</v>
      </c>
      <c r="D70" s="35">
        <v>18.649678699999999</v>
      </c>
      <c r="E70" s="35">
        <v>4.9392420999999995</v>
      </c>
      <c r="F70" s="35">
        <v>1.8558769400000001</v>
      </c>
      <c r="G70" s="35">
        <v>0.61835835000000006</v>
      </c>
      <c r="H70" s="35">
        <v>0.14710890000000001</v>
      </c>
      <c r="I70" s="35">
        <v>5.9327390000000008E-2</v>
      </c>
      <c r="J70" s="35">
        <v>15.970593759999998</v>
      </c>
      <c r="K70" s="35">
        <v>0</v>
      </c>
      <c r="L70" s="35">
        <v>0</v>
      </c>
      <c r="M70" s="35">
        <v>0</v>
      </c>
      <c r="N70" t="s">
        <v>769</v>
      </c>
      <c r="O70" s="3"/>
    </row>
    <row r="71" spans="1:15" ht="16.5" x14ac:dyDescent="0.3">
      <c r="A71" s="64" t="s">
        <v>757</v>
      </c>
      <c r="B71" s="35">
        <v>43.065528390000004</v>
      </c>
      <c r="C71" s="35">
        <v>41.76306984</v>
      </c>
      <c r="D71" s="35">
        <v>7.4176188099999996</v>
      </c>
      <c r="E71" s="35">
        <v>2.8244509799999999</v>
      </c>
      <c r="F71" s="35">
        <v>1.4162244399999999</v>
      </c>
      <c r="G71" s="35">
        <v>0.29005028999999999</v>
      </c>
      <c r="H71" s="35">
        <v>4.209893E-2</v>
      </c>
      <c r="I71" s="35">
        <v>3.6833999999999999E-2</v>
      </c>
      <c r="J71" s="35">
        <v>3.1441243200000004</v>
      </c>
      <c r="K71" s="35">
        <v>0</v>
      </c>
      <c r="L71" s="35">
        <v>0</v>
      </c>
      <c r="M71" s="35">
        <v>0</v>
      </c>
      <c r="N71" t="s">
        <v>769</v>
      </c>
      <c r="O71" s="3"/>
    </row>
    <row r="72" spans="1:15" ht="16.5" x14ac:dyDescent="0.3">
      <c r="A72" s="64" t="s">
        <v>758</v>
      </c>
      <c r="B72" s="35">
        <v>5.8696889900000002</v>
      </c>
      <c r="C72" s="35">
        <v>28.086891749999999</v>
      </c>
      <c r="D72" s="35">
        <v>7.1956627999999991</v>
      </c>
      <c r="E72" s="35">
        <v>1.72825458</v>
      </c>
      <c r="F72" s="35">
        <v>0.19144255999999998</v>
      </c>
      <c r="G72" s="35">
        <v>4.601852E-2</v>
      </c>
      <c r="H72" s="35">
        <v>2.1000629999999999E-2</v>
      </c>
      <c r="I72" s="35">
        <v>2.2245690000000002E-2</v>
      </c>
      <c r="J72" s="35">
        <v>56.838794479999997</v>
      </c>
      <c r="K72" s="35">
        <v>0</v>
      </c>
      <c r="L72" s="35">
        <v>0</v>
      </c>
      <c r="M72" s="35">
        <v>0</v>
      </c>
      <c r="N72" t="s">
        <v>769</v>
      </c>
      <c r="O72" s="3"/>
    </row>
    <row r="73" spans="1:15" ht="16.5" x14ac:dyDescent="0.3">
      <c r="A73" s="64" t="s">
        <v>759</v>
      </c>
      <c r="B73" s="35">
        <v>30.371897100000002</v>
      </c>
      <c r="C73" s="35">
        <v>31.79375486</v>
      </c>
      <c r="D73" s="35">
        <v>4.1792010900000003</v>
      </c>
      <c r="E73" s="35">
        <v>3.2509607199999997</v>
      </c>
      <c r="F73" s="35">
        <v>0.18665918000000001</v>
      </c>
      <c r="G73" s="35">
        <v>2.4798570000000002E-2</v>
      </c>
      <c r="H73" s="35">
        <v>3.083756E-2</v>
      </c>
      <c r="I73" s="35">
        <v>3.5205210000000001E-2</v>
      </c>
      <c r="J73" s="35">
        <v>30.126685720000001</v>
      </c>
      <c r="K73" s="35">
        <v>0</v>
      </c>
      <c r="L73" s="35">
        <v>0</v>
      </c>
      <c r="M73" s="35">
        <v>0</v>
      </c>
      <c r="N73" t="s">
        <v>769</v>
      </c>
      <c r="O73" s="3"/>
    </row>
    <row r="74" spans="1:15" ht="16.5" x14ac:dyDescent="0.3">
      <c r="A74" s="64" t="s">
        <v>760</v>
      </c>
      <c r="B74" s="35">
        <v>30.371897100000002</v>
      </c>
      <c r="C74" s="35">
        <v>31.79375486</v>
      </c>
      <c r="D74" s="35">
        <v>4.1792010900000003</v>
      </c>
      <c r="E74" s="35">
        <v>3.2509607199999997</v>
      </c>
      <c r="F74" s="35">
        <v>0.18665918000000001</v>
      </c>
      <c r="G74" s="35">
        <v>2.4798570000000002E-2</v>
      </c>
      <c r="H74" s="35">
        <v>3.083756E-2</v>
      </c>
      <c r="I74" s="35">
        <v>3.5205210000000001E-2</v>
      </c>
      <c r="J74" s="35">
        <v>30.126685720000001</v>
      </c>
      <c r="K74" s="35">
        <v>0</v>
      </c>
      <c r="L74" s="35">
        <v>0</v>
      </c>
      <c r="M74" s="35">
        <v>0</v>
      </c>
      <c r="N74" t="s">
        <v>773</v>
      </c>
      <c r="O74" s="3"/>
    </row>
    <row r="75" spans="1:15" ht="16.5" x14ac:dyDescent="0.3">
      <c r="A75" s="8" t="s">
        <v>92</v>
      </c>
      <c r="B75" s="18">
        <f>AVERAGE(B64:B74)</f>
        <v>33.409630981818182</v>
      </c>
      <c r="C75" s="18">
        <f t="shared" ref="C75:J75" si="5">AVERAGE(C64:C74)</f>
        <v>27.490342209999994</v>
      </c>
      <c r="D75" s="18">
        <f t="shared" si="5"/>
        <v>9.3986764109090917</v>
      </c>
      <c r="E75" s="18">
        <f t="shared" si="5"/>
        <v>3.514697523636364</v>
      </c>
      <c r="F75" s="18">
        <f t="shared" si="5"/>
        <v>0.7933095890909091</v>
      </c>
      <c r="G75" s="18">
        <f t="shared" si="5"/>
        <v>0.23749580545454554</v>
      </c>
      <c r="H75" s="18">
        <f t="shared" si="5"/>
        <v>0.20596963909090912</v>
      </c>
      <c r="I75" s="18">
        <f t="shared" si="5"/>
        <v>0.23204643545454545</v>
      </c>
      <c r="J75" s="18">
        <f t="shared" si="5"/>
        <v>24.717831407272726</v>
      </c>
      <c r="K75" s="35">
        <v>0</v>
      </c>
      <c r="L75" s="35">
        <v>0</v>
      </c>
      <c r="M75" s="35">
        <v>0</v>
      </c>
      <c r="N75" t="s">
        <v>93</v>
      </c>
      <c r="O75" s="3"/>
    </row>
    <row r="78" spans="1:15" ht="18" x14ac:dyDescent="0.3">
      <c r="A78" s="43" t="s">
        <v>854</v>
      </c>
      <c r="B78" s="43"/>
      <c r="C78" s="43"/>
      <c r="D78" s="43"/>
      <c r="E78" s="88"/>
      <c r="F78" s="3"/>
      <c r="G78" s="3"/>
      <c r="H78" s="4"/>
      <c r="I78" s="3"/>
      <c r="J78" s="3"/>
      <c r="K78" s="3"/>
      <c r="L78" s="3"/>
      <c r="M78" s="3"/>
    </row>
    <row r="79" spans="1:15" ht="16.5" x14ac:dyDescent="0.3">
      <c r="A79" s="349"/>
      <c r="B79" s="342" t="s">
        <v>95</v>
      </c>
      <c r="C79" s="342" t="s">
        <v>68</v>
      </c>
      <c r="D79" s="343" t="s">
        <v>69</v>
      </c>
      <c r="E79" s="342" t="s">
        <v>70</v>
      </c>
      <c r="F79" s="342" t="s">
        <v>71</v>
      </c>
      <c r="G79" s="342" t="s">
        <v>72</v>
      </c>
      <c r="H79" s="342" t="s">
        <v>73</v>
      </c>
      <c r="I79" s="342" t="s">
        <v>74</v>
      </c>
      <c r="J79" s="342" t="s">
        <v>147</v>
      </c>
      <c r="K79" s="342" t="s">
        <v>76</v>
      </c>
      <c r="L79" s="342" t="s">
        <v>77</v>
      </c>
      <c r="M79" s="342" t="s">
        <v>78</v>
      </c>
    </row>
    <row r="80" spans="1:15" ht="16.5" x14ac:dyDescent="0.3">
      <c r="A80" s="342" t="s">
        <v>44</v>
      </c>
      <c r="B80" s="348" t="s">
        <v>80</v>
      </c>
      <c r="C80" s="348" t="s">
        <v>81</v>
      </c>
      <c r="D80" s="348" t="s">
        <v>82</v>
      </c>
      <c r="E80" s="348" t="s">
        <v>83</v>
      </c>
      <c r="F80" s="348" t="s">
        <v>84</v>
      </c>
      <c r="G80" s="348" t="s">
        <v>85</v>
      </c>
      <c r="H80" s="348" t="s">
        <v>86</v>
      </c>
      <c r="I80" s="348" t="s">
        <v>87</v>
      </c>
      <c r="J80" s="348" t="s">
        <v>775</v>
      </c>
      <c r="K80" s="348" t="s">
        <v>89</v>
      </c>
      <c r="L80" s="348" t="s">
        <v>90</v>
      </c>
      <c r="M80" s="348" t="s">
        <v>91</v>
      </c>
      <c r="N80" s="3" t="s">
        <v>61</v>
      </c>
    </row>
    <row r="81" spans="1:15" ht="16.5" x14ac:dyDescent="0.3">
      <c r="A81" s="362" t="s">
        <v>53</v>
      </c>
      <c r="B81" s="3"/>
      <c r="C81" s="3"/>
      <c r="D81" s="3"/>
      <c r="E81" s="3"/>
      <c r="F81" s="3"/>
      <c r="G81" s="3"/>
      <c r="H81" s="4"/>
      <c r="I81" s="3"/>
      <c r="J81" s="3"/>
    </row>
    <row r="82" spans="1:15" ht="16.5" x14ac:dyDescent="0.3">
      <c r="A82" s="360" t="s">
        <v>101</v>
      </c>
      <c r="B82" s="292" t="e">
        <f>($B$54*B64)/100</f>
        <v>#DIV/0!</v>
      </c>
      <c r="C82" s="292" t="e">
        <f>($B$54*C64)/100</f>
        <v>#DIV/0!</v>
      </c>
      <c r="D82" s="292" t="e">
        <f t="shared" ref="D82:M82" si="6">($B$54*D64)/100</f>
        <v>#DIV/0!</v>
      </c>
      <c r="E82" s="292" t="e">
        <f t="shared" si="6"/>
        <v>#DIV/0!</v>
      </c>
      <c r="F82" s="292" t="e">
        <f t="shared" si="6"/>
        <v>#DIV/0!</v>
      </c>
      <c r="G82" s="292" t="e">
        <f t="shared" si="6"/>
        <v>#DIV/0!</v>
      </c>
      <c r="H82" s="292" t="e">
        <f t="shared" si="6"/>
        <v>#DIV/0!</v>
      </c>
      <c r="I82" s="292" t="e">
        <f t="shared" si="6"/>
        <v>#DIV/0!</v>
      </c>
      <c r="J82" s="292" t="e">
        <f t="shared" si="6"/>
        <v>#DIV/0!</v>
      </c>
      <c r="K82" s="292" t="e">
        <f t="shared" si="6"/>
        <v>#DIV/0!</v>
      </c>
      <c r="L82" s="292" t="e">
        <f t="shared" si="6"/>
        <v>#DIV/0!</v>
      </c>
      <c r="M82" s="292" t="e">
        <f t="shared" si="6"/>
        <v>#DIV/0!</v>
      </c>
    </row>
    <row r="83" spans="1:15" ht="16.5" x14ac:dyDescent="0.3">
      <c r="A83" s="360" t="s">
        <v>96</v>
      </c>
      <c r="B83" s="292" t="e">
        <f>($C$54*B65)/100</f>
        <v>#DIV/0!</v>
      </c>
      <c r="C83" s="292" t="e">
        <f t="shared" ref="C83:J83" si="7">($C$54*C65)/100</f>
        <v>#DIV/0!</v>
      </c>
      <c r="D83" s="292" t="e">
        <f t="shared" si="7"/>
        <v>#DIV/0!</v>
      </c>
      <c r="E83" s="292" t="e">
        <f t="shared" si="7"/>
        <v>#DIV/0!</v>
      </c>
      <c r="F83" s="292" t="e">
        <f t="shared" si="7"/>
        <v>#DIV/0!</v>
      </c>
      <c r="G83" s="292" t="e">
        <f t="shared" si="7"/>
        <v>#DIV/0!</v>
      </c>
      <c r="H83" s="292" t="e">
        <f t="shared" si="7"/>
        <v>#DIV/0!</v>
      </c>
      <c r="I83" s="292" t="e">
        <f t="shared" si="7"/>
        <v>#DIV/0!</v>
      </c>
      <c r="J83" s="292" t="e">
        <f t="shared" si="7"/>
        <v>#DIV/0!</v>
      </c>
      <c r="K83" s="292" t="e">
        <f t="shared" ref="K83:M83" si="8">($B$54*K65)/100</f>
        <v>#DIV/0!</v>
      </c>
      <c r="L83" s="292" t="e">
        <f t="shared" si="8"/>
        <v>#DIV/0!</v>
      </c>
      <c r="M83" s="292" t="e">
        <f t="shared" si="8"/>
        <v>#DIV/0!</v>
      </c>
    </row>
    <row r="84" spans="1:15" ht="16.5" x14ac:dyDescent="0.3">
      <c r="A84" s="360" t="s">
        <v>97</v>
      </c>
      <c r="B84" s="292" t="e">
        <f>($D$54*B66)/100</f>
        <v>#DIV/0!</v>
      </c>
      <c r="C84" s="292" t="e">
        <f t="shared" ref="C84:J84" si="9">($D$54*C66)/100</f>
        <v>#DIV/0!</v>
      </c>
      <c r="D84" s="292" t="e">
        <f t="shared" si="9"/>
        <v>#DIV/0!</v>
      </c>
      <c r="E84" s="292" t="e">
        <f t="shared" si="9"/>
        <v>#DIV/0!</v>
      </c>
      <c r="F84" s="292" t="e">
        <f t="shared" si="9"/>
        <v>#DIV/0!</v>
      </c>
      <c r="G84" s="292" t="e">
        <f t="shared" si="9"/>
        <v>#DIV/0!</v>
      </c>
      <c r="H84" s="292" t="e">
        <f t="shared" si="9"/>
        <v>#DIV/0!</v>
      </c>
      <c r="I84" s="292" t="e">
        <f t="shared" si="9"/>
        <v>#DIV/0!</v>
      </c>
      <c r="J84" s="292" t="e">
        <f t="shared" si="9"/>
        <v>#DIV/0!</v>
      </c>
      <c r="K84" s="292" t="e">
        <f t="shared" ref="K84:M84" si="10">($B$54*K66)/100</f>
        <v>#DIV/0!</v>
      </c>
      <c r="L84" s="292" t="e">
        <f t="shared" si="10"/>
        <v>#DIV/0!</v>
      </c>
      <c r="M84" s="292" t="e">
        <f t="shared" si="10"/>
        <v>#DIV/0!</v>
      </c>
      <c r="O84" t="s">
        <v>774</v>
      </c>
    </row>
    <row r="85" spans="1:15" ht="16.5" x14ac:dyDescent="0.3">
      <c r="A85" s="360" t="s">
        <v>98</v>
      </c>
      <c r="B85" s="292" t="e">
        <f>($E$54*B67)/100</f>
        <v>#DIV/0!</v>
      </c>
      <c r="C85" s="292" t="e">
        <f t="shared" ref="C85:J85" si="11">($E$54*C67)/100</f>
        <v>#DIV/0!</v>
      </c>
      <c r="D85" s="292" t="e">
        <f t="shared" si="11"/>
        <v>#DIV/0!</v>
      </c>
      <c r="E85" s="292" t="e">
        <f t="shared" si="11"/>
        <v>#DIV/0!</v>
      </c>
      <c r="F85" s="292" t="e">
        <f t="shared" si="11"/>
        <v>#DIV/0!</v>
      </c>
      <c r="G85" s="292" t="e">
        <f t="shared" si="11"/>
        <v>#DIV/0!</v>
      </c>
      <c r="H85" s="292" t="e">
        <f t="shared" si="11"/>
        <v>#DIV/0!</v>
      </c>
      <c r="I85" s="292" t="e">
        <f t="shared" si="11"/>
        <v>#DIV/0!</v>
      </c>
      <c r="J85" s="292" t="e">
        <f t="shared" si="11"/>
        <v>#DIV/0!</v>
      </c>
      <c r="K85" s="292" t="e">
        <f t="shared" ref="K85:M85" si="12">($B$54*K67)/100</f>
        <v>#DIV/0!</v>
      </c>
      <c r="L85" s="292" t="e">
        <f t="shared" si="12"/>
        <v>#DIV/0!</v>
      </c>
      <c r="M85" s="292" t="e">
        <f t="shared" si="12"/>
        <v>#DIV/0!</v>
      </c>
    </row>
    <row r="86" spans="1:15" ht="16.5" x14ac:dyDescent="0.3">
      <c r="A86" s="360" t="s">
        <v>99</v>
      </c>
      <c r="B86" s="292" t="e">
        <f>($F$54*B68)/100</f>
        <v>#DIV/0!</v>
      </c>
      <c r="C86" s="292" t="e">
        <f t="shared" ref="C86:J86" si="13">($F$54*C68)/100</f>
        <v>#DIV/0!</v>
      </c>
      <c r="D86" s="292" t="e">
        <f t="shared" si="13"/>
        <v>#DIV/0!</v>
      </c>
      <c r="E86" s="292" t="e">
        <f t="shared" si="13"/>
        <v>#DIV/0!</v>
      </c>
      <c r="F86" s="292" t="e">
        <f t="shared" si="13"/>
        <v>#DIV/0!</v>
      </c>
      <c r="G86" s="292" t="e">
        <f t="shared" si="13"/>
        <v>#DIV/0!</v>
      </c>
      <c r="H86" s="292" t="e">
        <f t="shared" si="13"/>
        <v>#DIV/0!</v>
      </c>
      <c r="I86" s="292" t="e">
        <f t="shared" si="13"/>
        <v>#DIV/0!</v>
      </c>
      <c r="J86" s="292" t="e">
        <f t="shared" si="13"/>
        <v>#DIV/0!</v>
      </c>
      <c r="K86" s="292" t="e">
        <f t="shared" ref="K86:M86" si="14">($B$54*K68)/100</f>
        <v>#DIV/0!</v>
      </c>
      <c r="L86" s="292" t="e">
        <f t="shared" si="14"/>
        <v>#DIV/0!</v>
      </c>
      <c r="M86" s="292" t="e">
        <f t="shared" si="14"/>
        <v>#DIV/0!</v>
      </c>
    </row>
    <row r="87" spans="1:15" ht="16.5" x14ac:dyDescent="0.3">
      <c r="A87" s="360" t="s">
        <v>767</v>
      </c>
      <c r="B87" s="292" t="e">
        <f>($G$54*B68)/100</f>
        <v>#DIV/0!</v>
      </c>
      <c r="C87" s="292" t="e">
        <f t="shared" ref="C87:J87" si="15">($G$54*C68)/100</f>
        <v>#DIV/0!</v>
      </c>
      <c r="D87" s="292" t="e">
        <f t="shared" si="15"/>
        <v>#DIV/0!</v>
      </c>
      <c r="E87" s="292" t="e">
        <f t="shared" si="15"/>
        <v>#DIV/0!</v>
      </c>
      <c r="F87" s="292" t="e">
        <f t="shared" si="15"/>
        <v>#DIV/0!</v>
      </c>
      <c r="G87" s="292" t="e">
        <f t="shared" si="15"/>
        <v>#DIV/0!</v>
      </c>
      <c r="H87" s="292" t="e">
        <f t="shared" si="15"/>
        <v>#DIV/0!</v>
      </c>
      <c r="I87" s="292" t="e">
        <f t="shared" si="15"/>
        <v>#DIV/0!</v>
      </c>
      <c r="J87" s="292" t="e">
        <f t="shared" si="15"/>
        <v>#DIV/0!</v>
      </c>
      <c r="K87" s="292" t="e">
        <f t="shared" ref="K87:M87" si="16">($B$54*K69)/100</f>
        <v>#DIV/0!</v>
      </c>
      <c r="L87" s="292" t="e">
        <f t="shared" si="16"/>
        <v>#DIV/0!</v>
      </c>
      <c r="M87" s="292" t="e">
        <f t="shared" si="16"/>
        <v>#DIV/0!</v>
      </c>
      <c r="N87" s="3" t="s">
        <v>768</v>
      </c>
    </row>
    <row r="88" spans="1:15" ht="16.5" x14ac:dyDescent="0.3">
      <c r="A88" s="361" t="s">
        <v>100</v>
      </c>
      <c r="B88" s="293" t="e">
        <f t="shared" ref="B88" si="17">SUM(B82:B87)</f>
        <v>#DIV/0!</v>
      </c>
      <c r="C88" s="293" t="e">
        <f t="shared" ref="C88:M88" si="18">SUM(C82:C87)</f>
        <v>#DIV/0!</v>
      </c>
      <c r="D88" s="293" t="e">
        <f t="shared" si="18"/>
        <v>#DIV/0!</v>
      </c>
      <c r="E88" s="293" t="e">
        <f t="shared" si="18"/>
        <v>#DIV/0!</v>
      </c>
      <c r="F88" s="293" t="e">
        <f t="shared" si="18"/>
        <v>#DIV/0!</v>
      </c>
      <c r="G88" s="293" t="e">
        <f t="shared" si="18"/>
        <v>#DIV/0!</v>
      </c>
      <c r="H88" s="293" t="e">
        <f t="shared" si="18"/>
        <v>#DIV/0!</v>
      </c>
      <c r="I88" s="293" t="e">
        <f t="shared" si="18"/>
        <v>#DIV/0!</v>
      </c>
      <c r="J88" s="293" t="e">
        <f t="shared" si="18"/>
        <v>#DIV/0!</v>
      </c>
      <c r="K88" s="293" t="e">
        <f t="shared" si="18"/>
        <v>#DIV/0!</v>
      </c>
      <c r="L88" s="293" t="e">
        <f t="shared" si="18"/>
        <v>#DIV/0!</v>
      </c>
      <c r="M88" s="293" t="e">
        <f t="shared" si="18"/>
        <v>#DIV/0!</v>
      </c>
    </row>
    <row r="89" spans="1:15" ht="16.5" x14ac:dyDescent="0.3">
      <c r="A89" s="357"/>
      <c r="B89" s="294"/>
      <c r="C89" s="294"/>
      <c r="D89" s="294"/>
      <c r="E89" s="294"/>
      <c r="F89" s="294"/>
      <c r="G89" s="294"/>
      <c r="H89" s="294"/>
      <c r="I89" s="294"/>
      <c r="J89" s="294"/>
      <c r="K89" s="294"/>
      <c r="L89" s="294"/>
      <c r="M89" s="294"/>
    </row>
    <row r="90" spans="1:15" ht="16.5" x14ac:dyDescent="0.3">
      <c r="A90" s="362" t="s">
        <v>54</v>
      </c>
      <c r="B90" s="294"/>
      <c r="C90" s="294"/>
      <c r="D90" s="294"/>
      <c r="E90" s="294"/>
      <c r="F90" s="294"/>
      <c r="G90" s="294"/>
      <c r="H90" s="294"/>
      <c r="I90" s="294"/>
      <c r="J90" s="294"/>
      <c r="K90" s="294"/>
      <c r="L90" s="294"/>
      <c r="M90" s="294"/>
    </row>
    <row r="91" spans="1:15" ht="16.5" x14ac:dyDescent="0.3">
      <c r="A91" s="360" t="s">
        <v>101</v>
      </c>
      <c r="B91" s="363" t="e">
        <f>($B$55*B69)/100</f>
        <v>#DIV/0!</v>
      </c>
      <c r="C91" s="292" t="e">
        <f t="shared" ref="C91:M91" si="19">($B$55*C69)/100</f>
        <v>#DIV/0!</v>
      </c>
      <c r="D91" s="292" t="e">
        <f t="shared" si="19"/>
        <v>#DIV/0!</v>
      </c>
      <c r="E91" s="292" t="e">
        <f t="shared" si="19"/>
        <v>#DIV/0!</v>
      </c>
      <c r="F91" s="292" t="e">
        <f t="shared" si="19"/>
        <v>#DIV/0!</v>
      </c>
      <c r="G91" s="292" t="e">
        <f t="shared" si="19"/>
        <v>#DIV/0!</v>
      </c>
      <c r="H91" s="292" t="e">
        <f t="shared" si="19"/>
        <v>#DIV/0!</v>
      </c>
      <c r="I91" s="292" t="e">
        <f t="shared" si="19"/>
        <v>#DIV/0!</v>
      </c>
      <c r="J91" s="292" t="e">
        <f t="shared" si="19"/>
        <v>#DIV/0!</v>
      </c>
      <c r="K91" s="292" t="e">
        <f t="shared" si="19"/>
        <v>#DIV/0!</v>
      </c>
      <c r="L91" s="292" t="e">
        <f t="shared" si="19"/>
        <v>#DIV/0!</v>
      </c>
      <c r="M91" s="292" t="e">
        <f t="shared" si="19"/>
        <v>#DIV/0!</v>
      </c>
    </row>
    <row r="92" spans="1:15" ht="16.5" x14ac:dyDescent="0.3">
      <c r="A92" s="360" t="s">
        <v>96</v>
      </c>
      <c r="B92" s="363" t="e">
        <f>($C$55*B70)/100</f>
        <v>#DIV/0!</v>
      </c>
      <c r="C92" s="292" t="e">
        <f t="shared" ref="C92:J92" si="20">($C$55*C70)/100</f>
        <v>#DIV/0!</v>
      </c>
      <c r="D92" s="292" t="e">
        <f t="shared" si="20"/>
        <v>#DIV/0!</v>
      </c>
      <c r="E92" s="292" t="e">
        <f t="shared" si="20"/>
        <v>#DIV/0!</v>
      </c>
      <c r="F92" s="292" t="e">
        <f t="shared" si="20"/>
        <v>#DIV/0!</v>
      </c>
      <c r="G92" s="292" t="e">
        <f t="shared" si="20"/>
        <v>#DIV/0!</v>
      </c>
      <c r="H92" s="292" t="e">
        <f t="shared" si="20"/>
        <v>#DIV/0!</v>
      </c>
      <c r="I92" s="292" t="e">
        <f t="shared" si="20"/>
        <v>#DIV/0!</v>
      </c>
      <c r="J92" s="292" t="e">
        <f t="shared" si="20"/>
        <v>#DIV/0!</v>
      </c>
      <c r="K92" s="292" t="e">
        <f t="shared" ref="K92:M92" si="21">($B$55*K70)/100</f>
        <v>#DIV/0!</v>
      </c>
      <c r="L92" s="292" t="e">
        <f t="shared" si="21"/>
        <v>#DIV/0!</v>
      </c>
      <c r="M92" s="292" t="e">
        <f t="shared" si="21"/>
        <v>#DIV/0!</v>
      </c>
    </row>
    <row r="93" spans="1:15" ht="16.5" x14ac:dyDescent="0.3">
      <c r="A93" s="360" t="s">
        <v>97</v>
      </c>
      <c r="B93" s="363" t="e">
        <f>($D$55*B71)/100</f>
        <v>#DIV/0!</v>
      </c>
      <c r="C93" s="292" t="e">
        <f t="shared" ref="C93:J93" si="22">($D$55*C71)/100</f>
        <v>#DIV/0!</v>
      </c>
      <c r="D93" s="292" t="e">
        <f t="shared" si="22"/>
        <v>#DIV/0!</v>
      </c>
      <c r="E93" s="292" t="e">
        <f t="shared" si="22"/>
        <v>#DIV/0!</v>
      </c>
      <c r="F93" s="292" t="e">
        <f t="shared" si="22"/>
        <v>#DIV/0!</v>
      </c>
      <c r="G93" s="292" t="e">
        <f t="shared" si="22"/>
        <v>#DIV/0!</v>
      </c>
      <c r="H93" s="292" t="e">
        <f t="shared" si="22"/>
        <v>#DIV/0!</v>
      </c>
      <c r="I93" s="292" t="e">
        <f t="shared" si="22"/>
        <v>#DIV/0!</v>
      </c>
      <c r="J93" s="292" t="e">
        <f t="shared" si="22"/>
        <v>#DIV/0!</v>
      </c>
      <c r="K93" s="292" t="e">
        <f t="shared" ref="K93:M93" si="23">($B$55*K71)/100</f>
        <v>#DIV/0!</v>
      </c>
      <c r="L93" s="292" t="e">
        <f t="shared" si="23"/>
        <v>#DIV/0!</v>
      </c>
      <c r="M93" s="292" t="e">
        <f t="shared" si="23"/>
        <v>#DIV/0!</v>
      </c>
    </row>
    <row r="94" spans="1:15" ht="16.5" x14ac:dyDescent="0.3">
      <c r="A94" s="360" t="s">
        <v>770</v>
      </c>
      <c r="B94" s="363" t="e">
        <f>($E$55*B71)/100</f>
        <v>#DIV/0!</v>
      </c>
      <c r="C94" s="292" t="e">
        <f t="shared" ref="C94:J94" si="24">($E$55*C71)/100</f>
        <v>#DIV/0!</v>
      </c>
      <c r="D94" s="292" t="e">
        <f t="shared" si="24"/>
        <v>#DIV/0!</v>
      </c>
      <c r="E94" s="292" t="e">
        <f t="shared" si="24"/>
        <v>#DIV/0!</v>
      </c>
      <c r="F94" s="292" t="e">
        <f t="shared" si="24"/>
        <v>#DIV/0!</v>
      </c>
      <c r="G94" s="292" t="e">
        <f t="shared" si="24"/>
        <v>#DIV/0!</v>
      </c>
      <c r="H94" s="292" t="e">
        <f t="shared" si="24"/>
        <v>#DIV/0!</v>
      </c>
      <c r="I94" s="292" t="e">
        <f t="shared" si="24"/>
        <v>#DIV/0!</v>
      </c>
      <c r="J94" s="292" t="e">
        <f t="shared" si="24"/>
        <v>#DIV/0!</v>
      </c>
      <c r="K94" s="292" t="e">
        <f t="shared" ref="K94:M94" si="25">($B$55*K72)/100</f>
        <v>#DIV/0!</v>
      </c>
      <c r="L94" s="292" t="e">
        <f t="shared" si="25"/>
        <v>#DIV/0!</v>
      </c>
      <c r="M94" s="292" t="e">
        <f t="shared" si="25"/>
        <v>#DIV/0!</v>
      </c>
    </row>
    <row r="95" spans="1:15" ht="16.5" x14ac:dyDescent="0.3">
      <c r="A95" s="361" t="s">
        <v>100</v>
      </c>
      <c r="B95" s="364" t="e">
        <f>SUM(B91:B94)</f>
        <v>#DIV/0!</v>
      </c>
      <c r="C95" s="293" t="e">
        <f t="shared" ref="C95:M95" si="26">SUM(C91:C94)</f>
        <v>#DIV/0!</v>
      </c>
      <c r="D95" s="293" t="e">
        <f t="shared" si="26"/>
        <v>#DIV/0!</v>
      </c>
      <c r="E95" s="293" t="e">
        <f t="shared" si="26"/>
        <v>#DIV/0!</v>
      </c>
      <c r="F95" s="293" t="e">
        <f t="shared" si="26"/>
        <v>#DIV/0!</v>
      </c>
      <c r="G95" s="293" t="e">
        <f t="shared" si="26"/>
        <v>#DIV/0!</v>
      </c>
      <c r="H95" s="293" t="e">
        <f t="shared" si="26"/>
        <v>#DIV/0!</v>
      </c>
      <c r="I95" s="293" t="e">
        <f t="shared" si="26"/>
        <v>#DIV/0!</v>
      </c>
      <c r="J95" s="293" t="e">
        <f t="shared" si="26"/>
        <v>#DIV/0!</v>
      </c>
      <c r="K95" s="293" t="e">
        <f t="shared" si="26"/>
        <v>#DIV/0!</v>
      </c>
      <c r="L95" s="293" t="e">
        <f t="shared" si="26"/>
        <v>#DIV/0!</v>
      </c>
      <c r="M95" s="293" t="e">
        <f t="shared" si="26"/>
        <v>#DIV/0!</v>
      </c>
    </row>
    <row r="96" spans="1:15" ht="16.5" x14ac:dyDescent="0.3">
      <c r="A96" s="14"/>
      <c r="B96" s="294"/>
      <c r="C96" s="294"/>
      <c r="D96" s="294"/>
      <c r="E96" s="294"/>
      <c r="F96" s="294"/>
      <c r="G96" s="294"/>
      <c r="H96" s="294"/>
      <c r="I96" s="294"/>
      <c r="J96" s="294"/>
      <c r="K96" s="3"/>
    </row>
    <row r="97" spans="1:14" ht="16.5" x14ac:dyDescent="0.3">
      <c r="A97" s="362" t="s">
        <v>55</v>
      </c>
      <c r="B97" s="295"/>
      <c r="C97" s="295"/>
      <c r="D97" s="295"/>
      <c r="E97" s="295"/>
      <c r="F97" s="295"/>
      <c r="G97" s="295"/>
      <c r="H97" s="295"/>
      <c r="I97" s="295"/>
      <c r="J97" s="295"/>
      <c r="K97" s="3"/>
    </row>
    <row r="98" spans="1:14" ht="16.5" x14ac:dyDescent="0.3">
      <c r="A98" s="360" t="s">
        <v>101</v>
      </c>
      <c r="B98" s="363" t="e">
        <f>($B$56*B69)/100</f>
        <v>#DIV/0!</v>
      </c>
      <c r="C98" s="292" t="e">
        <f t="shared" ref="C98:J98" si="27">($B$56*C69)/100</f>
        <v>#DIV/0!</v>
      </c>
      <c r="D98" s="292" t="e">
        <f t="shared" si="27"/>
        <v>#DIV/0!</v>
      </c>
      <c r="E98" s="292" t="e">
        <f t="shared" si="27"/>
        <v>#DIV/0!</v>
      </c>
      <c r="F98" s="292" t="e">
        <f t="shared" si="27"/>
        <v>#DIV/0!</v>
      </c>
      <c r="G98" s="292" t="e">
        <f t="shared" si="27"/>
        <v>#DIV/0!</v>
      </c>
      <c r="H98" s="292" t="e">
        <f t="shared" si="27"/>
        <v>#DIV/0!</v>
      </c>
      <c r="I98" s="292" t="e">
        <f t="shared" si="27"/>
        <v>#DIV/0!</v>
      </c>
      <c r="J98" s="292" t="e">
        <f t="shared" si="27"/>
        <v>#DIV/0!</v>
      </c>
      <c r="K98" s="292" t="e">
        <f t="shared" ref="K98:M98" si="28">($B$56*K69)/100</f>
        <v>#DIV/0!</v>
      </c>
      <c r="L98" s="292" t="e">
        <f t="shared" si="28"/>
        <v>#DIV/0!</v>
      </c>
      <c r="M98" s="292" t="e">
        <f t="shared" si="28"/>
        <v>#DIV/0!</v>
      </c>
    </row>
    <row r="99" spans="1:14" ht="16.5" x14ac:dyDescent="0.3">
      <c r="A99" s="360" t="s">
        <v>96</v>
      </c>
      <c r="B99" s="363" t="e">
        <f>($C$56*B70)/100</f>
        <v>#DIV/0!</v>
      </c>
      <c r="C99" s="292" t="e">
        <f t="shared" ref="C99:J99" si="29">($C$56*C70)/100</f>
        <v>#DIV/0!</v>
      </c>
      <c r="D99" s="292" t="e">
        <f t="shared" si="29"/>
        <v>#DIV/0!</v>
      </c>
      <c r="E99" s="292" t="e">
        <f t="shared" si="29"/>
        <v>#DIV/0!</v>
      </c>
      <c r="F99" s="292" t="e">
        <f t="shared" si="29"/>
        <v>#DIV/0!</v>
      </c>
      <c r="G99" s="292" t="e">
        <f t="shared" si="29"/>
        <v>#DIV/0!</v>
      </c>
      <c r="H99" s="292" t="e">
        <f t="shared" si="29"/>
        <v>#DIV/0!</v>
      </c>
      <c r="I99" s="292" t="e">
        <f t="shared" si="29"/>
        <v>#DIV/0!</v>
      </c>
      <c r="J99" s="292" t="e">
        <f t="shared" si="29"/>
        <v>#DIV/0!</v>
      </c>
      <c r="K99" s="292" t="e">
        <f t="shared" ref="K99:M99" si="30">($C$56*K70)/100</f>
        <v>#DIV/0!</v>
      </c>
      <c r="L99" s="292" t="e">
        <f t="shared" si="30"/>
        <v>#DIV/0!</v>
      </c>
      <c r="M99" s="292" t="e">
        <f t="shared" si="30"/>
        <v>#DIV/0!</v>
      </c>
    </row>
    <row r="100" spans="1:14" ht="16.5" x14ac:dyDescent="0.3">
      <c r="A100" s="360" t="s">
        <v>97</v>
      </c>
      <c r="B100" s="363" t="e">
        <f>($D$56*B71)/100</f>
        <v>#DIV/0!</v>
      </c>
      <c r="C100" s="292" t="e">
        <f t="shared" ref="C100:J100" si="31">($D$56*C71)/100</f>
        <v>#DIV/0!</v>
      </c>
      <c r="D100" s="292" t="e">
        <f t="shared" si="31"/>
        <v>#DIV/0!</v>
      </c>
      <c r="E100" s="292" t="e">
        <f t="shared" si="31"/>
        <v>#DIV/0!</v>
      </c>
      <c r="F100" s="292" t="e">
        <f t="shared" si="31"/>
        <v>#DIV/0!</v>
      </c>
      <c r="G100" s="292" t="e">
        <f t="shared" si="31"/>
        <v>#DIV/0!</v>
      </c>
      <c r="H100" s="292" t="e">
        <f t="shared" si="31"/>
        <v>#DIV/0!</v>
      </c>
      <c r="I100" s="292" t="e">
        <f t="shared" si="31"/>
        <v>#DIV/0!</v>
      </c>
      <c r="J100" s="292" t="e">
        <f t="shared" si="31"/>
        <v>#DIV/0!</v>
      </c>
      <c r="K100" s="292" t="e">
        <f t="shared" ref="K100:M100" si="32">($D$56*K71)/100</f>
        <v>#DIV/0!</v>
      </c>
      <c r="L100" s="292" t="e">
        <f t="shared" si="32"/>
        <v>#DIV/0!</v>
      </c>
      <c r="M100" s="292" t="e">
        <f t="shared" si="32"/>
        <v>#DIV/0!</v>
      </c>
    </row>
    <row r="101" spans="1:14" ht="16.5" x14ac:dyDescent="0.3">
      <c r="A101" s="360" t="s">
        <v>770</v>
      </c>
      <c r="B101" s="363" t="e">
        <f>($E$56*B71)/100</f>
        <v>#DIV/0!</v>
      </c>
      <c r="C101" s="292" t="e">
        <f t="shared" ref="C101:J101" si="33">($E$56*C71)/100</f>
        <v>#DIV/0!</v>
      </c>
      <c r="D101" s="292" t="e">
        <f t="shared" si="33"/>
        <v>#DIV/0!</v>
      </c>
      <c r="E101" s="292" t="e">
        <f t="shared" si="33"/>
        <v>#DIV/0!</v>
      </c>
      <c r="F101" s="292" t="e">
        <f t="shared" si="33"/>
        <v>#DIV/0!</v>
      </c>
      <c r="G101" s="292" t="e">
        <f t="shared" si="33"/>
        <v>#DIV/0!</v>
      </c>
      <c r="H101" s="292" t="e">
        <f t="shared" si="33"/>
        <v>#DIV/0!</v>
      </c>
      <c r="I101" s="292" t="e">
        <f t="shared" si="33"/>
        <v>#DIV/0!</v>
      </c>
      <c r="J101" s="292" t="e">
        <f t="shared" si="33"/>
        <v>#DIV/0!</v>
      </c>
      <c r="K101" s="292" t="e">
        <f t="shared" ref="K101:M101" si="34">($E$56*K71)/100</f>
        <v>#DIV/0!</v>
      </c>
      <c r="L101" s="292" t="e">
        <f t="shared" si="34"/>
        <v>#DIV/0!</v>
      </c>
      <c r="M101" s="292" t="e">
        <f t="shared" si="34"/>
        <v>#DIV/0!</v>
      </c>
    </row>
    <row r="102" spans="1:14" ht="16.5" x14ac:dyDescent="0.3">
      <c r="A102" s="361" t="s">
        <v>100</v>
      </c>
      <c r="B102" s="364" t="e">
        <f>SUM(B98:B101)</f>
        <v>#DIV/0!</v>
      </c>
      <c r="C102" s="293" t="e">
        <f t="shared" ref="C102:J102" si="35">SUM(C98:C101)</f>
        <v>#DIV/0!</v>
      </c>
      <c r="D102" s="293" t="e">
        <f t="shared" si="35"/>
        <v>#DIV/0!</v>
      </c>
      <c r="E102" s="293" t="e">
        <f t="shared" si="35"/>
        <v>#DIV/0!</v>
      </c>
      <c r="F102" s="293" t="e">
        <f t="shared" si="35"/>
        <v>#DIV/0!</v>
      </c>
      <c r="G102" s="293" t="e">
        <f t="shared" si="35"/>
        <v>#DIV/0!</v>
      </c>
      <c r="H102" s="293" t="e">
        <f t="shared" si="35"/>
        <v>#DIV/0!</v>
      </c>
      <c r="I102" s="293" t="e">
        <f t="shared" si="35"/>
        <v>#DIV/0!</v>
      </c>
      <c r="J102" s="293" t="e">
        <f t="shared" si="35"/>
        <v>#DIV/0!</v>
      </c>
      <c r="K102" s="293" t="e">
        <f t="shared" ref="K102:M102" si="36">SUM(K98:K101)</f>
        <v>#DIV/0!</v>
      </c>
      <c r="L102" s="293" t="e">
        <f t="shared" si="36"/>
        <v>#DIV/0!</v>
      </c>
      <c r="M102" s="293" t="e">
        <f t="shared" si="36"/>
        <v>#DIV/0!</v>
      </c>
    </row>
    <row r="103" spans="1:14" ht="16.5" x14ac:dyDescent="0.3">
      <c r="A103" s="14"/>
      <c r="B103" s="295"/>
      <c r="C103" s="295"/>
      <c r="D103" s="295"/>
      <c r="E103" s="295"/>
      <c r="F103" s="295"/>
      <c r="G103" s="295"/>
      <c r="H103" s="295"/>
      <c r="I103" s="295"/>
      <c r="J103" s="295"/>
      <c r="K103" s="3"/>
    </row>
    <row r="104" spans="1:14" ht="16.5" x14ac:dyDescent="0.3">
      <c r="A104" s="362" t="s">
        <v>56</v>
      </c>
      <c r="B104" s="295"/>
      <c r="C104" s="295"/>
      <c r="D104" s="295"/>
      <c r="E104" s="295"/>
      <c r="F104" s="295"/>
      <c r="G104" s="295"/>
      <c r="H104" s="295"/>
      <c r="I104" s="295"/>
      <c r="J104" s="295"/>
      <c r="K104" s="3"/>
    </row>
    <row r="105" spans="1:14" ht="16.5" x14ac:dyDescent="0.3">
      <c r="A105" s="360" t="s">
        <v>101</v>
      </c>
      <c r="B105" s="363" t="e">
        <f>($B$57*B72)/100</f>
        <v>#DIV/0!</v>
      </c>
      <c r="C105" s="292" t="e">
        <f>($B$57*C72)/100</f>
        <v>#DIV/0!</v>
      </c>
      <c r="D105" s="292" t="e">
        <f t="shared" ref="D105:J105" si="37">($B$57*D72)/100</f>
        <v>#DIV/0!</v>
      </c>
      <c r="E105" s="292" t="e">
        <f t="shared" si="37"/>
        <v>#DIV/0!</v>
      </c>
      <c r="F105" s="292" t="e">
        <f t="shared" si="37"/>
        <v>#DIV/0!</v>
      </c>
      <c r="G105" s="292" t="e">
        <f t="shared" si="37"/>
        <v>#DIV/0!</v>
      </c>
      <c r="H105" s="292" t="e">
        <f t="shared" si="37"/>
        <v>#DIV/0!</v>
      </c>
      <c r="I105" s="292" t="e">
        <f t="shared" si="37"/>
        <v>#DIV/0!</v>
      </c>
      <c r="J105" s="292" t="e">
        <f t="shared" si="37"/>
        <v>#DIV/0!</v>
      </c>
      <c r="K105" s="292" t="e">
        <f t="shared" ref="K105:M105" si="38">($B$57*K72)/100</f>
        <v>#DIV/0!</v>
      </c>
      <c r="L105" s="292" t="e">
        <f t="shared" si="38"/>
        <v>#DIV/0!</v>
      </c>
      <c r="M105" s="292" t="e">
        <f t="shared" si="38"/>
        <v>#DIV/0!</v>
      </c>
    </row>
    <row r="106" spans="1:14" ht="16.5" x14ac:dyDescent="0.3">
      <c r="A106" s="360" t="s">
        <v>96</v>
      </c>
      <c r="B106" s="363" t="e">
        <f>($C$57*B73)/100</f>
        <v>#DIV/0!</v>
      </c>
      <c r="C106" s="292" t="e">
        <f t="shared" ref="C106:J106" si="39">($C$57*C73)/100</f>
        <v>#DIV/0!</v>
      </c>
      <c r="D106" s="292" t="e">
        <f t="shared" si="39"/>
        <v>#DIV/0!</v>
      </c>
      <c r="E106" s="292" t="e">
        <f t="shared" si="39"/>
        <v>#DIV/0!</v>
      </c>
      <c r="F106" s="292" t="e">
        <f t="shared" si="39"/>
        <v>#DIV/0!</v>
      </c>
      <c r="G106" s="292" t="e">
        <f t="shared" si="39"/>
        <v>#DIV/0!</v>
      </c>
      <c r="H106" s="292" t="e">
        <f t="shared" si="39"/>
        <v>#DIV/0!</v>
      </c>
      <c r="I106" s="292" t="e">
        <f t="shared" si="39"/>
        <v>#DIV/0!</v>
      </c>
      <c r="J106" s="292" t="e">
        <f t="shared" si="39"/>
        <v>#DIV/0!</v>
      </c>
      <c r="K106" s="292" t="e">
        <f t="shared" ref="K106:M106" si="40">($C$57*K73)/100</f>
        <v>#DIV/0!</v>
      </c>
      <c r="L106" s="292" t="e">
        <f t="shared" si="40"/>
        <v>#DIV/0!</v>
      </c>
      <c r="M106" s="292" t="e">
        <f t="shared" si="40"/>
        <v>#DIV/0!</v>
      </c>
    </row>
    <row r="107" spans="1:14" ht="16.5" x14ac:dyDescent="0.3">
      <c r="A107" s="360" t="s">
        <v>97</v>
      </c>
      <c r="B107" s="363" t="e">
        <f t="shared" ref="B107:J107" si="41">($D$57*B74)/100</f>
        <v>#DIV/0!</v>
      </c>
      <c r="C107" s="292" t="e">
        <f t="shared" si="41"/>
        <v>#DIV/0!</v>
      </c>
      <c r="D107" s="292" t="e">
        <f t="shared" si="41"/>
        <v>#DIV/0!</v>
      </c>
      <c r="E107" s="292" t="e">
        <f t="shared" si="41"/>
        <v>#DIV/0!</v>
      </c>
      <c r="F107" s="292" t="e">
        <f t="shared" si="41"/>
        <v>#DIV/0!</v>
      </c>
      <c r="G107" s="292" t="e">
        <f t="shared" si="41"/>
        <v>#DIV/0!</v>
      </c>
      <c r="H107" s="292" t="e">
        <f t="shared" si="41"/>
        <v>#DIV/0!</v>
      </c>
      <c r="I107" s="292" t="e">
        <f t="shared" si="41"/>
        <v>#DIV/0!</v>
      </c>
      <c r="J107" s="292" t="e">
        <f t="shared" si="41"/>
        <v>#DIV/0!</v>
      </c>
      <c r="K107" s="292" t="e">
        <f t="shared" ref="K107:M107" si="42">($D$57*K74)/100</f>
        <v>#DIV/0!</v>
      </c>
      <c r="L107" s="292" t="e">
        <f t="shared" si="42"/>
        <v>#DIV/0!</v>
      </c>
      <c r="M107" s="292" t="e">
        <f t="shared" si="42"/>
        <v>#DIV/0!</v>
      </c>
    </row>
    <row r="108" spans="1:14" ht="16.5" x14ac:dyDescent="0.3">
      <c r="A108" s="360" t="s">
        <v>770</v>
      </c>
      <c r="B108" s="363" t="e">
        <f>($E$57*B74)/100</f>
        <v>#DIV/0!</v>
      </c>
      <c r="C108" s="292" t="e">
        <f t="shared" ref="C108:J108" si="43">($E$57*C74)/100</f>
        <v>#DIV/0!</v>
      </c>
      <c r="D108" s="292" t="e">
        <f t="shared" si="43"/>
        <v>#DIV/0!</v>
      </c>
      <c r="E108" s="292" t="e">
        <f t="shared" si="43"/>
        <v>#DIV/0!</v>
      </c>
      <c r="F108" s="292" t="e">
        <f t="shared" si="43"/>
        <v>#DIV/0!</v>
      </c>
      <c r="G108" s="292" t="e">
        <f t="shared" si="43"/>
        <v>#DIV/0!</v>
      </c>
      <c r="H108" s="292" t="e">
        <f t="shared" si="43"/>
        <v>#DIV/0!</v>
      </c>
      <c r="I108" s="292" t="e">
        <f t="shared" si="43"/>
        <v>#DIV/0!</v>
      </c>
      <c r="J108" s="292" t="e">
        <f t="shared" si="43"/>
        <v>#DIV/0!</v>
      </c>
      <c r="K108" s="292" t="e">
        <f t="shared" ref="K108:M108" si="44">($E$57*K74)/100</f>
        <v>#DIV/0!</v>
      </c>
      <c r="L108" s="292" t="e">
        <f t="shared" si="44"/>
        <v>#DIV/0!</v>
      </c>
      <c r="M108" s="292" t="e">
        <f t="shared" si="44"/>
        <v>#DIV/0!</v>
      </c>
    </row>
    <row r="109" spans="1:14" ht="16.5" x14ac:dyDescent="0.3">
      <c r="A109" s="365" t="s">
        <v>100</v>
      </c>
      <c r="B109" s="364" t="e">
        <f>SUM(B105:B108)</f>
        <v>#DIV/0!</v>
      </c>
      <c r="C109" s="293" t="e">
        <f t="shared" ref="C109:J109" si="45">SUM(C105:C108)</f>
        <v>#DIV/0!</v>
      </c>
      <c r="D109" s="293" t="e">
        <f t="shared" si="45"/>
        <v>#DIV/0!</v>
      </c>
      <c r="E109" s="293" t="e">
        <f t="shared" si="45"/>
        <v>#DIV/0!</v>
      </c>
      <c r="F109" s="293" t="e">
        <f t="shared" si="45"/>
        <v>#DIV/0!</v>
      </c>
      <c r="G109" s="293" t="e">
        <f t="shared" si="45"/>
        <v>#DIV/0!</v>
      </c>
      <c r="H109" s="293" t="e">
        <f t="shared" si="45"/>
        <v>#DIV/0!</v>
      </c>
      <c r="I109" s="293" t="e">
        <f t="shared" si="45"/>
        <v>#DIV/0!</v>
      </c>
      <c r="J109" s="293" t="e">
        <f t="shared" si="45"/>
        <v>#DIV/0!</v>
      </c>
      <c r="K109" s="293" t="e">
        <f t="shared" ref="K109:M109" si="46">SUM(K105:K108)</f>
        <v>#DIV/0!</v>
      </c>
      <c r="L109" s="293" t="e">
        <f t="shared" si="46"/>
        <v>#DIV/0!</v>
      </c>
      <c r="M109" s="293" t="e">
        <f t="shared" si="46"/>
        <v>#DIV/0!</v>
      </c>
    </row>
    <row r="110" spans="1:14" ht="16.5" x14ac:dyDescent="0.3">
      <c r="A110" s="14"/>
      <c r="B110" s="295"/>
      <c r="C110" s="295"/>
      <c r="D110" s="295"/>
      <c r="E110" s="295"/>
      <c r="F110" s="295"/>
      <c r="G110" s="295"/>
      <c r="H110" s="295"/>
      <c r="I110" s="295"/>
      <c r="J110" s="295"/>
      <c r="K110" s="3"/>
    </row>
    <row r="111" spans="1:14" ht="16.5" x14ac:dyDescent="0.3">
      <c r="A111" s="362" t="s">
        <v>57</v>
      </c>
      <c r="B111" s="295"/>
      <c r="C111" s="295"/>
      <c r="D111" s="295"/>
      <c r="E111" s="295"/>
      <c r="F111" s="295"/>
      <c r="G111" s="295"/>
      <c r="H111" s="295"/>
      <c r="I111" s="295"/>
      <c r="J111" s="295"/>
      <c r="K111" s="3"/>
    </row>
    <row r="112" spans="1:14" ht="16.5" x14ac:dyDescent="0.3">
      <c r="A112" s="360" t="s">
        <v>101</v>
      </c>
      <c r="B112" s="363" t="e">
        <f>($B$58*B75)/100</f>
        <v>#DIV/0!</v>
      </c>
      <c r="C112" s="292" t="e">
        <f t="shared" ref="C112:J112" si="47">($B$58*C75)/100</f>
        <v>#DIV/0!</v>
      </c>
      <c r="D112" s="292" t="e">
        <f t="shared" si="47"/>
        <v>#DIV/0!</v>
      </c>
      <c r="E112" s="292" t="e">
        <f t="shared" si="47"/>
        <v>#DIV/0!</v>
      </c>
      <c r="F112" s="292" t="e">
        <f t="shared" si="47"/>
        <v>#DIV/0!</v>
      </c>
      <c r="G112" s="292" t="e">
        <f t="shared" si="47"/>
        <v>#DIV/0!</v>
      </c>
      <c r="H112" s="292" t="e">
        <f t="shared" si="47"/>
        <v>#DIV/0!</v>
      </c>
      <c r="I112" s="292" t="e">
        <f t="shared" si="47"/>
        <v>#DIV/0!</v>
      </c>
      <c r="J112" s="292" t="e">
        <f t="shared" si="47"/>
        <v>#DIV/0!</v>
      </c>
      <c r="K112" s="292" t="e">
        <f t="shared" ref="K112:M112" si="48">($B$58*K75)/100</f>
        <v>#DIV/0!</v>
      </c>
      <c r="L112" s="292" t="e">
        <f t="shared" si="48"/>
        <v>#DIV/0!</v>
      </c>
      <c r="M112" s="292" t="e">
        <f t="shared" si="48"/>
        <v>#DIV/0!</v>
      </c>
      <c r="N112" s="3" t="s">
        <v>102</v>
      </c>
    </row>
    <row r="113" spans="1:14" ht="16.5" x14ac:dyDescent="0.3">
      <c r="A113" s="360" t="s">
        <v>96</v>
      </c>
      <c r="B113" s="363" t="e">
        <f>($C$58*B75)/100</f>
        <v>#DIV/0!</v>
      </c>
      <c r="C113" s="292" t="e">
        <f t="shared" ref="C113:J113" si="49">($C$58*C75)/100</f>
        <v>#DIV/0!</v>
      </c>
      <c r="D113" s="292" t="e">
        <f t="shared" si="49"/>
        <v>#DIV/0!</v>
      </c>
      <c r="E113" s="292" t="e">
        <f t="shared" si="49"/>
        <v>#DIV/0!</v>
      </c>
      <c r="F113" s="292" t="e">
        <f t="shared" si="49"/>
        <v>#DIV/0!</v>
      </c>
      <c r="G113" s="292" t="e">
        <f t="shared" si="49"/>
        <v>#DIV/0!</v>
      </c>
      <c r="H113" s="292" t="e">
        <f t="shared" si="49"/>
        <v>#DIV/0!</v>
      </c>
      <c r="I113" s="292" t="e">
        <f t="shared" si="49"/>
        <v>#DIV/0!</v>
      </c>
      <c r="J113" s="292" t="e">
        <f t="shared" si="49"/>
        <v>#DIV/0!</v>
      </c>
      <c r="K113" s="292" t="e">
        <f t="shared" ref="K113:M113" si="50">($C$58*K75)/100</f>
        <v>#DIV/0!</v>
      </c>
      <c r="L113" s="292" t="e">
        <f t="shared" si="50"/>
        <v>#DIV/0!</v>
      </c>
      <c r="M113" s="292" t="e">
        <f t="shared" si="50"/>
        <v>#DIV/0!</v>
      </c>
      <c r="N113" s="3" t="s">
        <v>102</v>
      </c>
    </row>
    <row r="114" spans="1:14" ht="16.5" x14ac:dyDescent="0.3">
      <c r="A114" s="360" t="s">
        <v>97</v>
      </c>
      <c r="B114" s="363" t="e">
        <f>($D$58*B75)/100</f>
        <v>#DIV/0!</v>
      </c>
      <c r="C114" s="292" t="e">
        <f t="shared" ref="C114:J114" si="51">($D$58*C75)/100</f>
        <v>#DIV/0!</v>
      </c>
      <c r="D114" s="292" t="e">
        <f t="shared" si="51"/>
        <v>#DIV/0!</v>
      </c>
      <c r="E114" s="292" t="e">
        <f t="shared" si="51"/>
        <v>#DIV/0!</v>
      </c>
      <c r="F114" s="292" t="e">
        <f t="shared" si="51"/>
        <v>#DIV/0!</v>
      </c>
      <c r="G114" s="292" t="e">
        <f t="shared" si="51"/>
        <v>#DIV/0!</v>
      </c>
      <c r="H114" s="292" t="e">
        <f t="shared" si="51"/>
        <v>#DIV/0!</v>
      </c>
      <c r="I114" s="292" t="e">
        <f t="shared" si="51"/>
        <v>#DIV/0!</v>
      </c>
      <c r="J114" s="292" t="e">
        <f t="shared" si="51"/>
        <v>#DIV/0!</v>
      </c>
      <c r="K114" s="292" t="e">
        <f t="shared" ref="K114:M114" si="52">($D$58*K75)/100</f>
        <v>#DIV/0!</v>
      </c>
      <c r="L114" s="292" t="e">
        <f t="shared" si="52"/>
        <v>#DIV/0!</v>
      </c>
      <c r="M114" s="292" t="e">
        <f t="shared" si="52"/>
        <v>#DIV/0!</v>
      </c>
      <c r="N114" s="3" t="s">
        <v>102</v>
      </c>
    </row>
    <row r="115" spans="1:14" ht="16.5" x14ac:dyDescent="0.3">
      <c r="A115" s="360" t="s">
        <v>98</v>
      </c>
      <c r="B115" s="363" t="e">
        <f>($E$58*B75)/100</f>
        <v>#DIV/0!</v>
      </c>
      <c r="C115" s="292" t="e">
        <f t="shared" ref="C115:J115" si="53">($E$58*C75)/100</f>
        <v>#DIV/0!</v>
      </c>
      <c r="D115" s="292" t="e">
        <f t="shared" si="53"/>
        <v>#DIV/0!</v>
      </c>
      <c r="E115" s="292" t="e">
        <f t="shared" si="53"/>
        <v>#DIV/0!</v>
      </c>
      <c r="F115" s="292" t="e">
        <f t="shared" si="53"/>
        <v>#DIV/0!</v>
      </c>
      <c r="G115" s="292" t="e">
        <f t="shared" si="53"/>
        <v>#DIV/0!</v>
      </c>
      <c r="H115" s="292" t="e">
        <f t="shared" si="53"/>
        <v>#DIV/0!</v>
      </c>
      <c r="I115" s="292" t="e">
        <f t="shared" si="53"/>
        <v>#DIV/0!</v>
      </c>
      <c r="J115" s="292" t="e">
        <f t="shared" si="53"/>
        <v>#DIV/0!</v>
      </c>
      <c r="K115" s="292" t="e">
        <f t="shared" ref="K115:M115" si="54">($E$58*K75)/100</f>
        <v>#DIV/0!</v>
      </c>
      <c r="L115" s="292" t="e">
        <f t="shared" si="54"/>
        <v>#DIV/0!</v>
      </c>
      <c r="M115" s="292" t="e">
        <f t="shared" si="54"/>
        <v>#DIV/0!</v>
      </c>
      <c r="N115" s="3" t="s">
        <v>102</v>
      </c>
    </row>
    <row r="116" spans="1:14" ht="16.5" x14ac:dyDescent="0.3">
      <c r="A116" s="360" t="s">
        <v>99</v>
      </c>
      <c r="B116" s="363" t="e">
        <f>($F$58*B75)/100</f>
        <v>#DIV/0!</v>
      </c>
      <c r="C116" s="292" t="e">
        <f t="shared" ref="C116:J116" si="55">($F$58*C75)/100</f>
        <v>#DIV/0!</v>
      </c>
      <c r="D116" s="292" t="e">
        <f t="shared" si="55"/>
        <v>#DIV/0!</v>
      </c>
      <c r="E116" s="292" t="e">
        <f t="shared" si="55"/>
        <v>#DIV/0!</v>
      </c>
      <c r="F116" s="292" t="e">
        <f t="shared" si="55"/>
        <v>#DIV/0!</v>
      </c>
      <c r="G116" s="292" t="e">
        <f t="shared" si="55"/>
        <v>#DIV/0!</v>
      </c>
      <c r="H116" s="292" t="e">
        <f t="shared" si="55"/>
        <v>#DIV/0!</v>
      </c>
      <c r="I116" s="292" t="e">
        <f t="shared" si="55"/>
        <v>#DIV/0!</v>
      </c>
      <c r="J116" s="292" t="e">
        <f t="shared" si="55"/>
        <v>#DIV/0!</v>
      </c>
      <c r="K116" s="292" t="e">
        <f t="shared" ref="K116:M116" si="56">($F$58*K75)/100</f>
        <v>#DIV/0!</v>
      </c>
      <c r="L116" s="292" t="e">
        <f t="shared" si="56"/>
        <v>#DIV/0!</v>
      </c>
      <c r="M116" s="292" t="e">
        <f t="shared" si="56"/>
        <v>#DIV/0!</v>
      </c>
      <c r="N116" s="3" t="s">
        <v>102</v>
      </c>
    </row>
    <row r="117" spans="1:14" ht="16.5" x14ac:dyDescent="0.3">
      <c r="A117" s="360" t="s">
        <v>767</v>
      </c>
      <c r="B117" s="363" t="e">
        <f>($G$58*B75)/100</f>
        <v>#DIV/0!</v>
      </c>
      <c r="C117" s="292" t="e">
        <f t="shared" ref="C117:J117" si="57">($G$58*C75)/100</f>
        <v>#DIV/0!</v>
      </c>
      <c r="D117" s="292" t="e">
        <f t="shared" si="57"/>
        <v>#DIV/0!</v>
      </c>
      <c r="E117" s="292" t="e">
        <f t="shared" si="57"/>
        <v>#DIV/0!</v>
      </c>
      <c r="F117" s="292" t="e">
        <f t="shared" si="57"/>
        <v>#DIV/0!</v>
      </c>
      <c r="G117" s="292" t="e">
        <f t="shared" si="57"/>
        <v>#DIV/0!</v>
      </c>
      <c r="H117" s="292" t="e">
        <f t="shared" si="57"/>
        <v>#DIV/0!</v>
      </c>
      <c r="I117" s="292" t="e">
        <f t="shared" si="57"/>
        <v>#DIV/0!</v>
      </c>
      <c r="J117" s="292" t="e">
        <f t="shared" si="57"/>
        <v>#DIV/0!</v>
      </c>
      <c r="K117" s="292" t="e">
        <f t="shared" ref="K117:M117" si="58">($G$58*K75)/100</f>
        <v>#DIV/0!</v>
      </c>
      <c r="L117" s="292" t="e">
        <f t="shared" si="58"/>
        <v>#DIV/0!</v>
      </c>
      <c r="M117" s="292" t="e">
        <f t="shared" si="58"/>
        <v>#DIV/0!</v>
      </c>
      <c r="N117" s="3" t="s">
        <v>102</v>
      </c>
    </row>
    <row r="118" spans="1:14" ht="16.5" x14ac:dyDescent="0.3">
      <c r="A118" s="365" t="s">
        <v>100</v>
      </c>
      <c r="B118" s="364" t="e">
        <f t="shared" ref="B118" si="59">SUM(B112:B117)</f>
        <v>#DIV/0!</v>
      </c>
      <c r="C118" s="293" t="e">
        <f t="shared" ref="C118:J118" si="60">SUM(C112:C117)</f>
        <v>#DIV/0!</v>
      </c>
      <c r="D118" s="293" t="e">
        <f t="shared" si="60"/>
        <v>#DIV/0!</v>
      </c>
      <c r="E118" s="293" t="e">
        <f t="shared" si="60"/>
        <v>#DIV/0!</v>
      </c>
      <c r="F118" s="293" t="e">
        <f t="shared" si="60"/>
        <v>#DIV/0!</v>
      </c>
      <c r="G118" s="293" t="e">
        <f t="shared" si="60"/>
        <v>#DIV/0!</v>
      </c>
      <c r="H118" s="293" t="e">
        <f t="shared" si="60"/>
        <v>#DIV/0!</v>
      </c>
      <c r="I118" s="293" t="e">
        <f t="shared" si="60"/>
        <v>#DIV/0!</v>
      </c>
      <c r="J118" s="293" t="e">
        <f t="shared" si="60"/>
        <v>#DIV/0!</v>
      </c>
      <c r="K118" s="293" t="e">
        <f t="shared" ref="K118:M118" si="61">SUM(K112:K117)</f>
        <v>#DIV/0!</v>
      </c>
      <c r="L118" s="293" t="e">
        <f t="shared" si="61"/>
        <v>#DIV/0!</v>
      </c>
      <c r="M118" s="293" t="e">
        <f t="shared" si="61"/>
        <v>#DIV/0!</v>
      </c>
    </row>
    <row r="121" spans="1:14" ht="18" customHeight="1" x14ac:dyDescent="0.3">
      <c r="A121" s="297" t="s">
        <v>848</v>
      </c>
      <c r="B121" s="219"/>
      <c r="C121" s="219"/>
      <c r="D121" s="219"/>
    </row>
    <row r="122" spans="1:14" ht="16.5" customHeight="1" x14ac:dyDescent="0.3">
      <c r="B122" s="342" t="s">
        <v>103</v>
      </c>
      <c r="C122" s="342" t="s">
        <v>68</v>
      </c>
      <c r="D122" s="343" t="s">
        <v>69</v>
      </c>
      <c r="E122" s="342" t="s">
        <v>70</v>
      </c>
      <c r="F122" s="342" t="s">
        <v>71</v>
      </c>
      <c r="G122" s="342" t="s">
        <v>72</v>
      </c>
      <c r="H122" s="342" t="s">
        <v>73</v>
      </c>
      <c r="I122" s="342" t="s">
        <v>74</v>
      </c>
      <c r="J122" s="342" t="s">
        <v>147</v>
      </c>
      <c r="K122" s="342" t="s">
        <v>76</v>
      </c>
      <c r="L122" s="342" t="s">
        <v>77</v>
      </c>
      <c r="M122" s="342" t="s">
        <v>78</v>
      </c>
    </row>
    <row r="123" spans="1:14" ht="16.5" x14ac:dyDescent="0.3">
      <c r="A123" s="342" t="s">
        <v>44</v>
      </c>
      <c r="B123" s="348" t="s">
        <v>80</v>
      </c>
      <c r="C123" s="348" t="s">
        <v>81</v>
      </c>
      <c r="D123" s="348" t="s">
        <v>82</v>
      </c>
      <c r="E123" s="348" t="s">
        <v>83</v>
      </c>
      <c r="F123" s="348" t="s">
        <v>84</v>
      </c>
      <c r="G123" s="348" t="s">
        <v>85</v>
      </c>
      <c r="H123" s="348" t="s">
        <v>86</v>
      </c>
      <c r="I123" s="348" t="s">
        <v>87</v>
      </c>
      <c r="J123" s="348" t="s">
        <v>88</v>
      </c>
      <c r="K123" s="348" t="s">
        <v>89</v>
      </c>
      <c r="L123" s="348" t="s">
        <v>90</v>
      </c>
      <c r="M123" s="348" t="s">
        <v>91</v>
      </c>
    </row>
    <row r="124" spans="1:14" ht="16.5" x14ac:dyDescent="0.3">
      <c r="A124" s="64" t="s">
        <v>53</v>
      </c>
      <c r="B124" s="9" t="e">
        <f>B88</f>
        <v>#DIV/0!</v>
      </c>
      <c r="C124" s="9" t="e">
        <f t="shared" ref="C124:J124" si="62">C88</f>
        <v>#DIV/0!</v>
      </c>
      <c r="D124" s="9" t="e">
        <f t="shared" si="62"/>
        <v>#DIV/0!</v>
      </c>
      <c r="E124" s="9" t="e">
        <f t="shared" si="62"/>
        <v>#DIV/0!</v>
      </c>
      <c r="F124" s="9" t="e">
        <f t="shared" si="62"/>
        <v>#DIV/0!</v>
      </c>
      <c r="G124" s="9" t="e">
        <f t="shared" si="62"/>
        <v>#DIV/0!</v>
      </c>
      <c r="H124" s="9" t="e">
        <f t="shared" si="62"/>
        <v>#DIV/0!</v>
      </c>
      <c r="I124" s="9" t="e">
        <f t="shared" si="62"/>
        <v>#DIV/0!</v>
      </c>
      <c r="J124" s="9" t="e">
        <f t="shared" si="62"/>
        <v>#DIV/0!</v>
      </c>
      <c r="K124" s="9" t="e">
        <f t="shared" ref="K124:M124" si="63">K88</f>
        <v>#DIV/0!</v>
      </c>
      <c r="L124" s="9" t="e">
        <f t="shared" si="63"/>
        <v>#DIV/0!</v>
      </c>
      <c r="M124" s="9" t="e">
        <f t="shared" si="63"/>
        <v>#DIV/0!</v>
      </c>
    </row>
    <row r="125" spans="1:14" ht="16.5" x14ac:dyDescent="0.3">
      <c r="A125" s="64" t="s">
        <v>54</v>
      </c>
      <c r="B125" s="9" t="e">
        <f>B95</f>
        <v>#DIV/0!</v>
      </c>
      <c r="C125" s="9" t="e">
        <f>C95</f>
        <v>#DIV/0!</v>
      </c>
      <c r="D125" s="9" t="e">
        <f t="shared" ref="D125:J125" si="64">D95</f>
        <v>#DIV/0!</v>
      </c>
      <c r="E125" s="9" t="e">
        <f t="shared" si="64"/>
        <v>#DIV/0!</v>
      </c>
      <c r="F125" s="9" t="e">
        <f t="shared" si="64"/>
        <v>#DIV/0!</v>
      </c>
      <c r="G125" s="9" t="e">
        <f t="shared" si="64"/>
        <v>#DIV/0!</v>
      </c>
      <c r="H125" s="9" t="e">
        <f t="shared" si="64"/>
        <v>#DIV/0!</v>
      </c>
      <c r="I125" s="9" t="e">
        <f t="shared" si="64"/>
        <v>#DIV/0!</v>
      </c>
      <c r="J125" s="9" t="e">
        <f t="shared" si="64"/>
        <v>#DIV/0!</v>
      </c>
      <c r="K125" s="9" t="e">
        <f t="shared" ref="K125:M125" si="65">K95</f>
        <v>#DIV/0!</v>
      </c>
      <c r="L125" s="9" t="e">
        <f t="shared" si="65"/>
        <v>#DIV/0!</v>
      </c>
      <c r="M125" s="9" t="e">
        <f t="shared" si="65"/>
        <v>#DIV/0!</v>
      </c>
    </row>
    <row r="126" spans="1:14" ht="16.5" x14ac:dyDescent="0.3">
      <c r="A126" s="64" t="s">
        <v>55</v>
      </c>
      <c r="B126" s="9" t="e">
        <f>B102</f>
        <v>#DIV/0!</v>
      </c>
      <c r="C126" s="9" t="e">
        <f t="shared" ref="C126:J126" si="66">C102</f>
        <v>#DIV/0!</v>
      </c>
      <c r="D126" s="9" t="e">
        <f t="shared" si="66"/>
        <v>#DIV/0!</v>
      </c>
      <c r="E126" s="9" t="e">
        <f t="shared" si="66"/>
        <v>#DIV/0!</v>
      </c>
      <c r="F126" s="9" t="e">
        <f t="shared" si="66"/>
        <v>#DIV/0!</v>
      </c>
      <c r="G126" s="9" t="e">
        <f t="shared" si="66"/>
        <v>#DIV/0!</v>
      </c>
      <c r="H126" s="9" t="e">
        <f t="shared" si="66"/>
        <v>#DIV/0!</v>
      </c>
      <c r="I126" s="9" t="e">
        <f t="shared" si="66"/>
        <v>#DIV/0!</v>
      </c>
      <c r="J126" s="9" t="e">
        <f t="shared" si="66"/>
        <v>#DIV/0!</v>
      </c>
      <c r="K126" s="9" t="e">
        <f t="shared" ref="K126:M126" si="67">K102</f>
        <v>#DIV/0!</v>
      </c>
      <c r="L126" s="9" t="e">
        <f t="shared" si="67"/>
        <v>#DIV/0!</v>
      </c>
      <c r="M126" s="9" t="e">
        <f t="shared" si="67"/>
        <v>#DIV/0!</v>
      </c>
    </row>
    <row r="127" spans="1:14" ht="16.5" x14ac:dyDescent="0.3">
      <c r="A127" s="64" t="s">
        <v>56</v>
      </c>
      <c r="B127" s="9" t="e">
        <f>B109</f>
        <v>#DIV/0!</v>
      </c>
      <c r="C127" s="9" t="e">
        <f t="shared" ref="C127:J127" si="68">C109</f>
        <v>#DIV/0!</v>
      </c>
      <c r="D127" s="9" t="e">
        <f t="shared" si="68"/>
        <v>#DIV/0!</v>
      </c>
      <c r="E127" s="9" t="e">
        <f t="shared" si="68"/>
        <v>#DIV/0!</v>
      </c>
      <c r="F127" s="9" t="e">
        <f t="shared" si="68"/>
        <v>#DIV/0!</v>
      </c>
      <c r="G127" s="9" t="e">
        <f t="shared" si="68"/>
        <v>#DIV/0!</v>
      </c>
      <c r="H127" s="9" t="e">
        <f t="shared" si="68"/>
        <v>#DIV/0!</v>
      </c>
      <c r="I127" s="9" t="e">
        <f t="shared" si="68"/>
        <v>#DIV/0!</v>
      </c>
      <c r="J127" s="9" t="e">
        <f t="shared" si="68"/>
        <v>#DIV/0!</v>
      </c>
      <c r="K127" s="9" t="e">
        <f t="shared" ref="K127:M127" si="69">K109</f>
        <v>#DIV/0!</v>
      </c>
      <c r="L127" s="9" t="e">
        <f t="shared" si="69"/>
        <v>#DIV/0!</v>
      </c>
      <c r="M127" s="9" t="e">
        <f t="shared" si="69"/>
        <v>#DIV/0!</v>
      </c>
    </row>
    <row r="128" spans="1:14" ht="16.5" x14ac:dyDescent="0.3">
      <c r="A128" s="64" t="s">
        <v>57</v>
      </c>
      <c r="B128" s="9" t="e">
        <f>B118</f>
        <v>#DIV/0!</v>
      </c>
      <c r="C128" s="9" t="e">
        <f t="shared" ref="C128:J128" si="70">C118</f>
        <v>#DIV/0!</v>
      </c>
      <c r="D128" s="9" t="e">
        <f t="shared" si="70"/>
        <v>#DIV/0!</v>
      </c>
      <c r="E128" s="9" t="e">
        <f t="shared" si="70"/>
        <v>#DIV/0!</v>
      </c>
      <c r="F128" s="9" t="e">
        <f t="shared" si="70"/>
        <v>#DIV/0!</v>
      </c>
      <c r="G128" s="9" t="e">
        <f t="shared" si="70"/>
        <v>#DIV/0!</v>
      </c>
      <c r="H128" s="9" t="e">
        <f t="shared" si="70"/>
        <v>#DIV/0!</v>
      </c>
      <c r="I128" s="9" t="e">
        <f t="shared" si="70"/>
        <v>#DIV/0!</v>
      </c>
      <c r="J128" s="9" t="e">
        <f t="shared" si="70"/>
        <v>#DIV/0!</v>
      </c>
      <c r="K128" s="9" t="e">
        <f t="shared" ref="K128:M128" si="71">K118</f>
        <v>#DIV/0!</v>
      </c>
      <c r="L128" s="9" t="e">
        <f t="shared" si="71"/>
        <v>#DIV/0!</v>
      </c>
      <c r="M128" s="9" t="e">
        <f t="shared" si="71"/>
        <v>#DIV/0!</v>
      </c>
    </row>
    <row r="129" spans="1:14" ht="16.5" x14ac:dyDescent="0.3">
      <c r="B129" s="22"/>
      <c r="C129" s="22"/>
      <c r="D129" s="22"/>
      <c r="E129" s="22"/>
      <c r="F129" s="22"/>
      <c r="G129" s="22"/>
      <c r="H129" s="22"/>
      <c r="I129" s="22"/>
      <c r="J129" s="22"/>
    </row>
    <row r="130" spans="1:14" ht="16.5" x14ac:dyDescent="0.3">
      <c r="A130" s="14"/>
    </row>
    <row r="131" spans="1:14" ht="18" x14ac:dyDescent="0.3">
      <c r="A131" s="297" t="s">
        <v>853</v>
      </c>
      <c r="B131" s="297"/>
      <c r="C131" s="297"/>
      <c r="D131" s="297"/>
      <c r="E131" s="219"/>
      <c r="N131" s="28" t="s">
        <v>104</v>
      </c>
    </row>
    <row r="132" spans="1:14" ht="18" x14ac:dyDescent="0.3">
      <c r="A132" s="243" t="s">
        <v>846</v>
      </c>
      <c r="B132" s="152" t="str">
        <f>IF($B$3="","",SUM(B124:B128))</f>
        <v/>
      </c>
      <c r="C132" s="152" t="str">
        <f t="shared" ref="C132:M132" si="72">IF($B$3="","",SUM(C124:C128))</f>
        <v/>
      </c>
      <c r="D132" s="152" t="str">
        <f t="shared" si="72"/>
        <v/>
      </c>
      <c r="E132" s="152" t="str">
        <f t="shared" si="72"/>
        <v/>
      </c>
      <c r="F132" s="152" t="str">
        <f t="shared" si="72"/>
        <v/>
      </c>
      <c r="G132" s="152" t="str">
        <f t="shared" si="72"/>
        <v/>
      </c>
      <c r="H132" s="152" t="str">
        <f t="shared" si="72"/>
        <v/>
      </c>
      <c r="I132" s="152" t="str">
        <f t="shared" si="72"/>
        <v/>
      </c>
      <c r="J132" s="152" t="str">
        <f t="shared" si="72"/>
        <v/>
      </c>
      <c r="K132" s="152" t="str">
        <f t="shared" si="72"/>
        <v/>
      </c>
      <c r="L132" s="152" t="str">
        <f t="shared" si="72"/>
        <v/>
      </c>
      <c r="M132" s="152" t="str">
        <f t="shared" si="72"/>
        <v/>
      </c>
      <c r="N132" s="130">
        <f>SUM(B132:J132)</f>
        <v>0</v>
      </c>
    </row>
  </sheetData>
  <mergeCells count="11">
    <mergeCell ref="A32:A33"/>
    <mergeCell ref="B32:G32"/>
    <mergeCell ref="A42:A43"/>
    <mergeCell ref="B42:G42"/>
    <mergeCell ref="A52:A53"/>
    <mergeCell ref="B52:G52"/>
    <mergeCell ref="A9:C9"/>
    <mergeCell ref="A10:A11"/>
    <mergeCell ref="B10:G10"/>
    <mergeCell ref="A22:A23"/>
    <mergeCell ref="B22:G2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A566C-1D53-4185-83C2-589D89446D4A}">
  <sheetPr codeName="Sheet8"/>
  <dimension ref="A1:AC78"/>
  <sheetViews>
    <sheetView zoomScale="90" zoomScaleNormal="90" workbookViewId="0">
      <selection activeCell="C3" sqref="C3"/>
    </sheetView>
  </sheetViews>
  <sheetFormatPr defaultColWidth="8.85546875" defaultRowHeight="16.5" x14ac:dyDescent="0.3"/>
  <cols>
    <col min="1" max="1" width="27.85546875" style="3" customWidth="1"/>
    <col min="2" max="2" width="16.140625" style="3" customWidth="1"/>
    <col min="3" max="14" width="14.85546875" style="3" customWidth="1"/>
    <col min="15" max="24" width="8.85546875" style="3"/>
  </cols>
  <sheetData>
    <row r="1" spans="1:16" x14ac:dyDescent="0.3">
      <c r="A1" s="4" t="s">
        <v>105</v>
      </c>
      <c r="B1" s="167" t="s">
        <v>5</v>
      </c>
      <c r="C1" s="158"/>
      <c r="F1" s="77"/>
      <c r="G1" s="77"/>
      <c r="H1" s="77"/>
      <c r="I1" s="77"/>
      <c r="J1" s="77"/>
      <c r="K1" s="77"/>
      <c r="L1" s="77"/>
      <c r="M1" s="85"/>
      <c r="N1" s="86"/>
      <c r="O1" s="85"/>
      <c r="P1" s="85"/>
    </row>
    <row r="2" spans="1:16" x14ac:dyDescent="0.3">
      <c r="F2" s="77"/>
      <c r="G2" s="77"/>
      <c r="H2" s="77"/>
      <c r="I2" s="77"/>
      <c r="J2" s="77"/>
      <c r="K2" s="77"/>
      <c r="L2" s="77"/>
      <c r="M2" s="85"/>
      <c r="N2" s="85"/>
      <c r="O2" s="103"/>
      <c r="P2" s="85"/>
    </row>
    <row r="3" spans="1:16" x14ac:dyDescent="0.3">
      <c r="A3" s="43" t="s">
        <v>6</v>
      </c>
      <c r="B3" s="57"/>
      <c r="F3" s="77"/>
      <c r="G3" s="77"/>
      <c r="H3" s="77"/>
      <c r="I3" s="77"/>
      <c r="J3" s="77"/>
      <c r="K3" s="77"/>
      <c r="L3" s="77"/>
      <c r="M3" s="85"/>
      <c r="N3" s="85"/>
      <c r="O3" s="103"/>
      <c r="P3" s="85"/>
    </row>
    <row r="4" spans="1:16" x14ac:dyDescent="0.3">
      <c r="A4" s="43" t="s">
        <v>7</v>
      </c>
      <c r="B4" s="57"/>
      <c r="F4" s="77"/>
      <c r="G4" s="77"/>
      <c r="H4" s="77"/>
      <c r="I4" s="77"/>
      <c r="J4" s="77"/>
      <c r="K4" s="77"/>
      <c r="L4" s="77"/>
      <c r="O4" s="104"/>
    </row>
    <row r="5" spans="1:16" ht="18" x14ac:dyDescent="0.3">
      <c r="A5" s="43" t="s">
        <v>8</v>
      </c>
      <c r="B5" s="57"/>
      <c r="C5" s="24" t="s">
        <v>835</v>
      </c>
      <c r="F5" s="77"/>
      <c r="G5" s="77"/>
      <c r="H5" s="77"/>
      <c r="I5" s="77"/>
      <c r="J5" s="77"/>
      <c r="K5" s="77"/>
      <c r="L5" s="77"/>
      <c r="O5" s="104"/>
    </row>
    <row r="6" spans="1:16" x14ac:dyDescent="0.3">
      <c r="F6" s="77"/>
      <c r="G6" s="77"/>
      <c r="H6" s="77"/>
      <c r="I6" s="77"/>
      <c r="J6" s="77"/>
      <c r="K6" s="77"/>
      <c r="L6" s="77"/>
      <c r="O6" s="104"/>
    </row>
    <row r="7" spans="1:16" x14ac:dyDescent="0.3">
      <c r="B7" s="28"/>
      <c r="C7" s="28"/>
      <c r="D7" s="28"/>
      <c r="E7" s="28"/>
      <c r="F7" s="28"/>
      <c r="G7" s="28"/>
      <c r="H7" s="28"/>
      <c r="I7" s="28"/>
      <c r="J7" s="28"/>
      <c r="K7" s="28"/>
      <c r="L7" s="77"/>
      <c r="O7" s="104"/>
    </row>
    <row r="8" spans="1:16" ht="18" x14ac:dyDescent="0.3">
      <c r="A8" s="43" t="s">
        <v>106</v>
      </c>
      <c r="B8" s="43"/>
      <c r="C8" s="43"/>
      <c r="D8" s="28"/>
      <c r="E8" s="28"/>
      <c r="F8" s="28"/>
      <c r="G8" s="28"/>
      <c r="H8" s="77"/>
      <c r="I8" s="77"/>
      <c r="J8" s="77"/>
      <c r="K8" s="77"/>
      <c r="L8" s="77"/>
    </row>
    <row r="9" spans="1:16" x14ac:dyDescent="0.3">
      <c r="B9" s="28" t="s">
        <v>107</v>
      </c>
      <c r="C9" s="28" t="s">
        <v>108</v>
      </c>
      <c r="D9" s="28" t="s">
        <v>109</v>
      </c>
      <c r="E9" s="28" t="s">
        <v>110</v>
      </c>
      <c r="F9" s="28" t="s">
        <v>111</v>
      </c>
      <c r="G9" s="28" t="s">
        <v>112</v>
      </c>
      <c r="H9" s="28" t="s">
        <v>113</v>
      </c>
      <c r="I9" s="28" t="s">
        <v>114</v>
      </c>
      <c r="J9" s="28" t="s">
        <v>115</v>
      </c>
      <c r="K9" s="28" t="s">
        <v>116</v>
      </c>
      <c r="L9" s="77"/>
    </row>
    <row r="10" spans="1:16" ht="18" x14ac:dyDescent="0.3">
      <c r="A10" s="332" t="s">
        <v>949</v>
      </c>
      <c r="B10" s="333">
        <f t="shared" ref="B10:K10" si="0">$B$5*10000</f>
        <v>0</v>
      </c>
      <c r="C10" s="333">
        <f t="shared" si="0"/>
        <v>0</v>
      </c>
      <c r="D10" s="333">
        <f t="shared" si="0"/>
        <v>0</v>
      </c>
      <c r="E10" s="333">
        <f t="shared" si="0"/>
        <v>0</v>
      </c>
      <c r="F10" s="333">
        <f t="shared" si="0"/>
        <v>0</v>
      </c>
      <c r="G10" s="333">
        <f t="shared" si="0"/>
        <v>0</v>
      </c>
      <c r="H10" s="333">
        <f t="shared" si="0"/>
        <v>0</v>
      </c>
      <c r="I10" s="333">
        <f t="shared" si="0"/>
        <v>0</v>
      </c>
      <c r="J10" s="333">
        <f t="shared" si="0"/>
        <v>0</v>
      </c>
      <c r="K10" s="333">
        <f t="shared" si="0"/>
        <v>0</v>
      </c>
      <c r="L10" s="249" t="s">
        <v>989</v>
      </c>
    </row>
    <row r="11" spans="1:16" ht="18" x14ac:dyDescent="0.3">
      <c r="A11" s="331" t="s">
        <v>950</v>
      </c>
      <c r="B11" s="334" t="s">
        <v>117</v>
      </c>
      <c r="C11" s="334" t="s">
        <v>117</v>
      </c>
      <c r="D11" s="334" t="s">
        <v>117</v>
      </c>
      <c r="E11" s="334" t="s">
        <v>117</v>
      </c>
      <c r="F11" s="334" t="s">
        <v>117</v>
      </c>
      <c r="G11" s="334" t="s">
        <v>117</v>
      </c>
      <c r="H11" s="334" t="s">
        <v>117</v>
      </c>
      <c r="I11" s="334" t="s">
        <v>117</v>
      </c>
      <c r="J11" s="334" t="s">
        <v>117</v>
      </c>
      <c r="K11" s="334" t="s">
        <v>117</v>
      </c>
      <c r="L11" s="77"/>
    </row>
    <row r="12" spans="1:16" x14ac:dyDescent="0.3">
      <c r="A12" s="399" t="s">
        <v>118</v>
      </c>
      <c r="B12" s="221"/>
      <c r="C12" s="221"/>
      <c r="D12" s="221"/>
      <c r="E12" s="221"/>
      <c r="F12" s="221"/>
      <c r="G12" s="221"/>
      <c r="H12" s="221"/>
      <c r="I12" s="221"/>
      <c r="J12" s="221"/>
      <c r="K12" s="221"/>
      <c r="L12" s="76" t="e">
        <f>((((SUM(B12:K12)/$B$4))/10000)/$B$5)</f>
        <v>#DIV/0!</v>
      </c>
    </row>
    <row r="13" spans="1:16" x14ac:dyDescent="0.3">
      <c r="A13" s="399" t="s">
        <v>119</v>
      </c>
      <c r="B13" s="221"/>
      <c r="C13" s="248"/>
      <c r="D13" s="248"/>
      <c r="E13" s="248"/>
      <c r="F13" s="248"/>
      <c r="G13" s="248"/>
      <c r="H13" s="248"/>
      <c r="I13" s="248"/>
      <c r="J13" s="248"/>
      <c r="K13" s="248"/>
      <c r="L13" s="76" t="e">
        <f t="shared" ref="L13:L19" si="1">((((SUM(B13:K13)/$B$4))/10000)/$B$5)</f>
        <v>#DIV/0!</v>
      </c>
      <c r="M13" s="27"/>
    </row>
    <row r="14" spans="1:16" x14ac:dyDescent="0.3">
      <c r="A14" s="399" t="s">
        <v>120</v>
      </c>
      <c r="B14" s="221"/>
      <c r="C14" s="248"/>
      <c r="D14" s="248"/>
      <c r="E14" s="248"/>
      <c r="F14" s="248"/>
      <c r="G14" s="248"/>
      <c r="H14" s="248"/>
      <c r="I14" s="248"/>
      <c r="J14" s="248"/>
      <c r="K14" s="248"/>
      <c r="L14" s="76" t="e">
        <f t="shared" si="1"/>
        <v>#DIV/0!</v>
      </c>
    </row>
    <row r="15" spans="1:16" x14ac:dyDescent="0.3">
      <c r="A15" s="399" t="s">
        <v>121</v>
      </c>
      <c r="B15" s="221"/>
      <c r="C15" s="248"/>
      <c r="D15" s="248"/>
      <c r="E15" s="248"/>
      <c r="F15" s="248"/>
      <c r="G15" s="248"/>
      <c r="H15" s="248"/>
      <c r="I15" s="248"/>
      <c r="J15" s="248"/>
      <c r="K15" s="248"/>
      <c r="L15" s="76" t="e">
        <f t="shared" si="1"/>
        <v>#DIV/0!</v>
      </c>
    </row>
    <row r="16" spans="1:16" x14ac:dyDescent="0.3">
      <c r="A16" s="399" t="s">
        <v>122</v>
      </c>
      <c r="B16" s="221"/>
      <c r="C16" s="248"/>
      <c r="D16" s="248"/>
      <c r="E16" s="248"/>
      <c r="F16" s="248"/>
      <c r="G16" s="248"/>
      <c r="H16" s="248"/>
      <c r="I16" s="248"/>
      <c r="J16" s="248"/>
      <c r="K16" s="248"/>
      <c r="L16" s="76" t="e">
        <f t="shared" si="1"/>
        <v>#DIV/0!</v>
      </c>
    </row>
    <row r="17" spans="1:24" x14ac:dyDescent="0.3">
      <c r="A17" s="399" t="s">
        <v>123</v>
      </c>
      <c r="B17" s="221"/>
      <c r="C17" s="248"/>
      <c r="D17" s="248"/>
      <c r="E17" s="248"/>
      <c r="F17" s="248"/>
      <c r="G17" s="248"/>
      <c r="H17" s="248"/>
      <c r="I17" s="248"/>
      <c r="J17" s="248"/>
      <c r="K17" s="248"/>
      <c r="L17" s="76" t="e">
        <f t="shared" si="1"/>
        <v>#DIV/0!</v>
      </c>
    </row>
    <row r="18" spans="1:24" x14ac:dyDescent="0.3">
      <c r="A18" s="399" t="s">
        <v>124</v>
      </c>
      <c r="B18" s="221"/>
      <c r="C18" s="248"/>
      <c r="D18" s="248"/>
      <c r="E18" s="248"/>
      <c r="F18" s="248"/>
      <c r="G18" s="248"/>
      <c r="H18" s="248"/>
      <c r="I18" s="248"/>
      <c r="J18" s="248"/>
      <c r="K18" s="248"/>
      <c r="L18" s="76" t="e">
        <f t="shared" si="1"/>
        <v>#DIV/0!</v>
      </c>
    </row>
    <row r="19" spans="1:24" x14ac:dyDescent="0.3">
      <c r="A19" s="399" t="s">
        <v>125</v>
      </c>
      <c r="B19" s="221"/>
      <c r="C19" s="248"/>
      <c r="D19" s="248"/>
      <c r="E19" s="248"/>
      <c r="F19" s="248"/>
      <c r="G19" s="248"/>
      <c r="H19" s="248"/>
      <c r="I19" s="248"/>
      <c r="J19" s="248"/>
      <c r="K19" s="248"/>
      <c r="L19" s="76" t="e">
        <f t="shared" si="1"/>
        <v>#DIV/0!</v>
      </c>
    </row>
    <row r="20" spans="1:24" x14ac:dyDescent="0.3">
      <c r="B20" s="28"/>
      <c r="C20" s="28"/>
      <c r="D20" s="28"/>
      <c r="E20" s="28"/>
      <c r="F20" s="28"/>
      <c r="G20" s="28"/>
      <c r="H20" s="28"/>
      <c r="I20" s="28"/>
      <c r="J20" s="28"/>
      <c r="K20" s="28"/>
      <c r="L20" s="77"/>
      <c r="O20" s="104"/>
    </row>
    <row r="21" spans="1:24" x14ac:dyDescent="0.3">
      <c r="F21" s="77"/>
      <c r="G21" s="77"/>
      <c r="H21" s="77"/>
      <c r="I21" s="77"/>
      <c r="J21" s="77"/>
      <c r="K21" s="77"/>
      <c r="L21" s="77"/>
      <c r="O21" s="104"/>
    </row>
    <row r="22" spans="1:24" ht="18" x14ac:dyDescent="0.3">
      <c r="A22" s="559" t="s">
        <v>126</v>
      </c>
      <c r="B22" s="559"/>
      <c r="C22" s="559"/>
      <c r="D22" s="559"/>
      <c r="E22" s="4"/>
      <c r="F22" s="4"/>
    </row>
    <row r="23" spans="1:24" x14ac:dyDescent="0.3">
      <c r="A23" s="23"/>
      <c r="B23" s="23"/>
      <c r="C23" s="23"/>
      <c r="D23" s="23"/>
      <c r="E23" s="4"/>
      <c r="F23" s="4"/>
    </row>
    <row r="24" spans="1:24" ht="70.900000000000006" customHeight="1" x14ac:dyDescent="0.3">
      <c r="A24" s="335" t="s">
        <v>127</v>
      </c>
      <c r="B24" s="335" t="s">
        <v>820</v>
      </c>
      <c r="C24" s="573" t="s">
        <v>128</v>
      </c>
      <c r="D24" s="573"/>
      <c r="E24" s="573"/>
      <c r="H24" s="45"/>
      <c r="I24" s="45"/>
      <c r="J24" s="45"/>
      <c r="K24" s="45"/>
      <c r="L24" s="45"/>
      <c r="M24" s="45"/>
      <c r="X24"/>
    </row>
    <row r="25" spans="1:24" ht="15.75" customHeight="1" x14ac:dyDescent="0.3">
      <c r="A25" s="222" t="s">
        <v>118</v>
      </c>
      <c r="B25" s="247">
        <v>1.4</v>
      </c>
      <c r="C25" s="571" t="s">
        <v>813</v>
      </c>
      <c r="D25" s="572"/>
      <c r="E25" s="572"/>
      <c r="F25" s="3" t="s">
        <v>819</v>
      </c>
      <c r="H25" s="98"/>
      <c r="I25" s="98"/>
      <c r="J25" s="98"/>
      <c r="K25" s="98"/>
      <c r="L25" s="98"/>
      <c r="M25" s="98"/>
      <c r="X25"/>
    </row>
    <row r="26" spans="1:24" ht="15.75" customHeight="1" x14ac:dyDescent="0.3">
      <c r="A26" s="222" t="s">
        <v>119</v>
      </c>
      <c r="B26" s="247">
        <v>4.5999999999999996</v>
      </c>
      <c r="C26" s="571" t="s">
        <v>813</v>
      </c>
      <c r="D26" s="572"/>
      <c r="E26" s="572"/>
      <c r="F26" s="3" t="s">
        <v>818</v>
      </c>
      <c r="H26" s="98"/>
      <c r="I26" s="98"/>
      <c r="J26" s="98"/>
      <c r="K26" s="98"/>
      <c r="L26" s="98"/>
      <c r="X26"/>
    </row>
    <row r="27" spans="1:24" ht="15.75" customHeight="1" x14ac:dyDescent="0.3">
      <c r="A27" s="222" t="s">
        <v>120</v>
      </c>
      <c r="B27" s="247">
        <v>4.2</v>
      </c>
      <c r="C27" s="571" t="s">
        <v>813</v>
      </c>
      <c r="D27" s="572"/>
      <c r="E27" s="572"/>
      <c r="F27" s="3" t="s">
        <v>817</v>
      </c>
      <c r="H27" s="98"/>
      <c r="I27" s="98"/>
      <c r="J27" s="98"/>
      <c r="K27" s="98"/>
      <c r="L27" s="98"/>
      <c r="X27"/>
    </row>
    <row r="28" spans="1:24" ht="15.75" customHeight="1" x14ac:dyDescent="0.3">
      <c r="A28" s="222" t="s">
        <v>121</v>
      </c>
      <c r="B28" s="247">
        <v>2.9</v>
      </c>
      <c r="C28" s="571" t="s">
        <v>813</v>
      </c>
      <c r="D28" s="572"/>
      <c r="E28" s="572"/>
      <c r="F28" s="3" t="s">
        <v>816</v>
      </c>
      <c r="H28" s="98"/>
      <c r="I28" s="98"/>
      <c r="J28" s="98"/>
      <c r="K28" s="98"/>
      <c r="L28" s="98"/>
      <c r="X28"/>
    </row>
    <row r="29" spans="1:24" ht="15.75" customHeight="1" x14ac:dyDescent="0.3">
      <c r="A29" s="222" t="s">
        <v>122</v>
      </c>
      <c r="B29" s="247">
        <v>5.4000000000000012</v>
      </c>
      <c r="C29" s="571" t="s">
        <v>813</v>
      </c>
      <c r="D29" s="572"/>
      <c r="E29" s="572"/>
      <c r="F29" s="3" t="s">
        <v>815</v>
      </c>
      <c r="H29" s="98"/>
      <c r="I29" s="98"/>
      <c r="J29" s="98"/>
      <c r="K29" s="98"/>
      <c r="L29" s="98"/>
      <c r="X29"/>
    </row>
    <row r="30" spans="1:24" ht="15.75" customHeight="1" x14ac:dyDescent="0.3">
      <c r="A30" s="222" t="s">
        <v>123</v>
      </c>
      <c r="B30" s="247">
        <v>2.8</v>
      </c>
      <c r="C30" s="571" t="s">
        <v>813</v>
      </c>
      <c r="D30" s="572"/>
      <c r="E30" s="572"/>
      <c r="F30" s="3" t="s">
        <v>814</v>
      </c>
      <c r="H30" s="98"/>
      <c r="I30" s="98"/>
      <c r="J30" s="98"/>
      <c r="K30" s="98"/>
      <c r="L30" s="98"/>
      <c r="X30"/>
    </row>
    <row r="31" spans="1:24" ht="15.75" customHeight="1" x14ac:dyDescent="0.3">
      <c r="A31" s="222" t="s">
        <v>124</v>
      </c>
      <c r="B31" s="247">
        <v>6.3</v>
      </c>
      <c r="C31" s="571" t="s">
        <v>813</v>
      </c>
      <c r="D31" s="572"/>
      <c r="E31" s="572"/>
      <c r="F31" s="3" t="s">
        <v>812</v>
      </c>
      <c r="H31" s="98"/>
      <c r="I31" s="98"/>
      <c r="J31" s="98"/>
      <c r="K31" s="98"/>
      <c r="L31" s="98"/>
      <c r="X31"/>
    </row>
    <row r="32" spans="1:24" ht="15.75" customHeight="1" x14ac:dyDescent="0.3">
      <c r="A32" s="222" t="s">
        <v>125</v>
      </c>
      <c r="B32" s="247">
        <v>1</v>
      </c>
      <c r="C32" s="571" t="s">
        <v>813</v>
      </c>
      <c r="D32" s="572"/>
      <c r="E32" s="572"/>
      <c r="F32" s="3" t="s">
        <v>812</v>
      </c>
      <c r="H32" s="98"/>
      <c r="I32" s="98"/>
      <c r="J32" s="98"/>
      <c r="K32" s="98"/>
      <c r="L32" s="98"/>
      <c r="X32"/>
    </row>
    <row r="33" spans="1:24" ht="15.75" customHeight="1" x14ac:dyDescent="0.3">
      <c r="A33" s="42"/>
      <c r="B33" s="220"/>
      <c r="C33" s="220"/>
      <c r="D33" s="36"/>
      <c r="E33" s="36"/>
      <c r="F33" s="98"/>
      <c r="G33" s="98"/>
      <c r="H33" s="98"/>
      <c r="I33" s="98"/>
      <c r="J33" s="98"/>
      <c r="K33" s="98"/>
      <c r="L33" s="98"/>
      <c r="M33" s="98"/>
    </row>
    <row r="34" spans="1:24" s="160" customFormat="1" x14ac:dyDescent="0.25">
      <c r="A34" s="178"/>
      <c r="B34" s="132"/>
      <c r="C34" s="132"/>
      <c r="D34" s="132"/>
      <c r="E34" s="132"/>
      <c r="F34" s="132"/>
      <c r="G34" s="132"/>
      <c r="H34" s="132"/>
      <c r="I34" s="132"/>
      <c r="J34" s="132"/>
      <c r="K34" s="132"/>
      <c r="L34" s="128"/>
      <c r="M34" s="126"/>
      <c r="N34" s="50"/>
      <c r="O34" s="50"/>
      <c r="P34" s="50"/>
      <c r="Q34" s="50"/>
      <c r="R34" s="50"/>
      <c r="S34" s="50"/>
      <c r="T34" s="50"/>
      <c r="U34" s="50"/>
      <c r="V34" s="50"/>
      <c r="W34" s="50"/>
      <c r="X34" s="50"/>
    </row>
    <row r="35" spans="1:24" s="160" customFormat="1" ht="18.75" x14ac:dyDescent="0.35">
      <c r="A35" s="211" t="s">
        <v>849</v>
      </c>
      <c r="B35" s="211"/>
      <c r="C35" s="211"/>
      <c r="D35" s="211"/>
      <c r="E35" s="132"/>
      <c r="F35" s="132"/>
      <c r="G35" s="132"/>
      <c r="H35" s="132"/>
      <c r="I35" s="132"/>
      <c r="J35" s="132"/>
      <c r="K35" s="132"/>
      <c r="L35" s="128"/>
      <c r="M35" s="126"/>
      <c r="N35" s="50"/>
      <c r="O35" s="50"/>
      <c r="P35" s="50"/>
      <c r="Q35" s="50"/>
      <c r="R35" s="50"/>
      <c r="S35" s="50"/>
      <c r="T35" s="50"/>
      <c r="U35" s="50"/>
      <c r="V35" s="50"/>
      <c r="W35" s="50"/>
      <c r="X35" s="50"/>
    </row>
    <row r="36" spans="1:24" s="160" customFormat="1" x14ac:dyDescent="0.3">
      <c r="A36" s="3"/>
      <c r="B36" s="3"/>
      <c r="C36" s="3"/>
      <c r="D36" s="132"/>
      <c r="E36" s="132"/>
      <c r="F36" s="132"/>
      <c r="G36" s="132"/>
      <c r="H36" s="132"/>
      <c r="I36" s="132"/>
      <c r="J36" s="132"/>
      <c r="K36" s="132"/>
      <c r="L36" s="128"/>
      <c r="M36" s="126"/>
      <c r="N36" s="50"/>
      <c r="O36" s="50"/>
      <c r="P36" s="50"/>
      <c r="Q36" s="50"/>
      <c r="R36" s="50"/>
      <c r="S36" s="50"/>
      <c r="T36" s="50"/>
      <c r="U36" s="50"/>
      <c r="V36" s="50"/>
      <c r="W36" s="50"/>
      <c r="X36" s="50"/>
    </row>
    <row r="37" spans="1:24" s="160" customFormat="1" x14ac:dyDescent="0.3">
      <c r="A37" s="266" t="s">
        <v>129</v>
      </c>
      <c r="B37" s="266"/>
      <c r="C37" s="3"/>
      <c r="D37" s="132"/>
      <c r="E37" s="132"/>
      <c r="F37" s="132"/>
      <c r="G37" s="132"/>
      <c r="H37" s="132"/>
      <c r="I37" s="132"/>
      <c r="J37" s="132"/>
      <c r="K37" s="132"/>
      <c r="L37" s="128"/>
      <c r="M37" s="126"/>
      <c r="N37" s="50"/>
      <c r="O37" s="50"/>
      <c r="P37" s="50"/>
      <c r="Q37" s="50"/>
      <c r="R37" s="50"/>
      <c r="S37" s="50"/>
      <c r="T37" s="50"/>
      <c r="U37" s="50"/>
      <c r="V37" s="50"/>
      <c r="W37" s="50"/>
      <c r="X37" s="50"/>
    </row>
    <row r="38" spans="1:24" s="160" customFormat="1" x14ac:dyDescent="0.3">
      <c r="A38" s="222" t="s">
        <v>118</v>
      </c>
      <c r="B38" s="19" t="e">
        <f t="shared" ref="B38:B45" si="2">B25*L12</f>
        <v>#DIV/0!</v>
      </c>
      <c r="D38" s="132"/>
      <c r="E38" s="132"/>
      <c r="F38" s="132"/>
      <c r="G38" s="132"/>
      <c r="H38" s="132"/>
      <c r="I38" s="132"/>
      <c r="J38" s="132"/>
      <c r="K38" s="132"/>
      <c r="L38" s="128"/>
      <c r="M38" s="126"/>
      <c r="N38" s="50"/>
      <c r="O38" s="50"/>
      <c r="P38" s="50"/>
      <c r="Q38" s="50"/>
      <c r="R38" s="50"/>
      <c r="S38" s="50"/>
      <c r="T38" s="50"/>
      <c r="U38" s="50"/>
      <c r="V38" s="50"/>
      <c r="W38" s="50"/>
      <c r="X38" s="50"/>
    </row>
    <row r="39" spans="1:24" s="160" customFormat="1" x14ac:dyDescent="0.3">
      <c r="A39" s="222" t="s">
        <v>119</v>
      </c>
      <c r="B39" s="19" t="e">
        <f t="shared" si="2"/>
        <v>#DIV/0!</v>
      </c>
      <c r="D39" s="132"/>
      <c r="E39" s="132"/>
      <c r="F39" s="132"/>
      <c r="G39" s="132"/>
      <c r="H39" s="132"/>
      <c r="I39" s="132"/>
      <c r="J39" s="132"/>
      <c r="K39" s="132"/>
      <c r="L39" s="128"/>
      <c r="M39" s="126"/>
      <c r="N39" s="50"/>
      <c r="O39" s="50"/>
      <c r="P39" s="50"/>
      <c r="Q39" s="50"/>
      <c r="R39" s="50"/>
      <c r="S39" s="50"/>
      <c r="T39" s="50"/>
      <c r="U39" s="50"/>
      <c r="V39" s="50"/>
      <c r="W39" s="50"/>
      <c r="X39" s="50"/>
    </row>
    <row r="40" spans="1:24" s="160" customFormat="1" x14ac:dyDescent="0.3">
      <c r="A40" s="222" t="s">
        <v>120</v>
      </c>
      <c r="B40" s="19" t="e">
        <f t="shared" si="2"/>
        <v>#DIV/0!</v>
      </c>
      <c r="D40" s="132"/>
      <c r="E40" s="132"/>
      <c r="F40" s="132"/>
      <c r="G40" s="132"/>
      <c r="H40" s="132"/>
      <c r="I40" s="132"/>
      <c r="J40" s="132"/>
      <c r="K40" s="132"/>
      <c r="L40" s="128"/>
      <c r="M40" s="126"/>
      <c r="N40" s="50"/>
      <c r="O40" s="50"/>
      <c r="P40" s="50"/>
      <c r="Q40" s="50"/>
      <c r="R40" s="50"/>
      <c r="S40" s="50"/>
      <c r="T40" s="50"/>
      <c r="U40" s="50"/>
      <c r="V40" s="50"/>
      <c r="W40" s="50"/>
      <c r="X40" s="50"/>
    </row>
    <row r="41" spans="1:24" s="160" customFormat="1" x14ac:dyDescent="0.3">
      <c r="A41" s="222" t="s">
        <v>121</v>
      </c>
      <c r="B41" s="19" t="e">
        <f t="shared" si="2"/>
        <v>#DIV/0!</v>
      </c>
      <c r="D41" s="132"/>
      <c r="E41" s="132"/>
      <c r="F41" s="132"/>
      <c r="G41" s="132"/>
      <c r="H41" s="132"/>
      <c r="I41" s="132"/>
      <c r="J41" s="132"/>
      <c r="K41" s="132"/>
      <c r="L41" s="128"/>
      <c r="M41" s="126"/>
      <c r="N41" s="50"/>
      <c r="O41" s="50"/>
      <c r="P41" s="50"/>
      <c r="Q41" s="50"/>
      <c r="R41" s="50"/>
      <c r="S41" s="50"/>
      <c r="T41" s="50"/>
      <c r="U41" s="50"/>
      <c r="V41" s="50"/>
      <c r="W41" s="50"/>
      <c r="X41" s="50"/>
    </row>
    <row r="42" spans="1:24" s="160" customFormat="1" x14ac:dyDescent="0.3">
      <c r="A42" s="222" t="s">
        <v>122</v>
      </c>
      <c r="B42" s="19" t="e">
        <f t="shared" si="2"/>
        <v>#DIV/0!</v>
      </c>
      <c r="D42" s="132"/>
      <c r="E42" s="132"/>
      <c r="F42" s="132"/>
      <c r="G42" s="132"/>
      <c r="H42" s="132"/>
      <c r="I42" s="132"/>
      <c r="J42" s="132"/>
      <c r="K42" s="132"/>
      <c r="L42" s="128"/>
      <c r="M42" s="126"/>
      <c r="N42" s="50"/>
      <c r="O42" s="50"/>
      <c r="P42" s="50"/>
      <c r="Q42" s="50"/>
      <c r="R42" s="50"/>
      <c r="S42" s="50"/>
      <c r="T42" s="50"/>
      <c r="U42" s="50"/>
      <c r="V42" s="50"/>
      <c r="W42" s="50"/>
      <c r="X42" s="50"/>
    </row>
    <row r="43" spans="1:24" s="160" customFormat="1" x14ac:dyDescent="0.3">
      <c r="A43" s="222" t="s">
        <v>123</v>
      </c>
      <c r="B43" s="19" t="e">
        <f t="shared" si="2"/>
        <v>#DIV/0!</v>
      </c>
      <c r="D43" s="132"/>
      <c r="E43" s="132"/>
      <c r="F43" s="132"/>
      <c r="G43" s="132"/>
      <c r="H43" s="132"/>
      <c r="I43" s="132"/>
      <c r="J43" s="132"/>
      <c r="K43" s="132"/>
      <c r="L43" s="128"/>
      <c r="M43" s="126"/>
      <c r="N43" s="50"/>
      <c r="O43" s="50"/>
      <c r="P43" s="50"/>
      <c r="Q43" s="50"/>
      <c r="R43" s="50"/>
      <c r="S43" s="50"/>
      <c r="T43" s="50"/>
      <c r="U43" s="50"/>
      <c r="V43" s="50"/>
      <c r="W43" s="50"/>
      <c r="X43" s="50"/>
    </row>
    <row r="44" spans="1:24" s="160" customFormat="1" x14ac:dyDescent="0.3">
      <c r="A44" s="222" t="s">
        <v>124</v>
      </c>
      <c r="B44" s="19" t="e">
        <f t="shared" si="2"/>
        <v>#DIV/0!</v>
      </c>
      <c r="D44" s="132"/>
      <c r="E44" s="132"/>
      <c r="F44" s="132"/>
      <c r="G44" s="132"/>
      <c r="H44" s="132"/>
      <c r="I44" s="132"/>
      <c r="J44" s="132"/>
      <c r="K44" s="132"/>
      <c r="L44" s="128"/>
      <c r="M44" s="126"/>
      <c r="N44" s="50"/>
      <c r="O44" s="50"/>
      <c r="P44" s="50"/>
      <c r="Q44" s="50"/>
      <c r="R44" s="50"/>
      <c r="S44" s="50"/>
      <c r="T44" s="50"/>
      <c r="U44" s="50"/>
      <c r="V44" s="50"/>
      <c r="W44" s="50"/>
      <c r="X44" s="50"/>
    </row>
    <row r="45" spans="1:24" s="160" customFormat="1" x14ac:dyDescent="0.3">
      <c r="A45" s="222" t="s">
        <v>125</v>
      </c>
      <c r="B45" s="19" t="e">
        <f t="shared" si="2"/>
        <v>#DIV/0!</v>
      </c>
      <c r="D45" s="132"/>
      <c r="E45" s="132"/>
      <c r="F45" s="132"/>
      <c r="G45" s="132"/>
      <c r="H45" s="132"/>
      <c r="I45" s="132"/>
      <c r="J45" s="132"/>
      <c r="K45" s="132"/>
      <c r="L45" s="128"/>
      <c r="M45" s="126"/>
      <c r="N45" s="50"/>
      <c r="O45" s="50"/>
      <c r="P45" s="50"/>
      <c r="Q45" s="50"/>
      <c r="R45" s="50"/>
      <c r="S45" s="50"/>
      <c r="T45" s="50"/>
      <c r="U45" s="50"/>
      <c r="V45" s="50"/>
      <c r="W45" s="50"/>
      <c r="X45" s="50"/>
    </row>
    <row r="46" spans="1:24" s="160" customFormat="1" x14ac:dyDescent="0.25">
      <c r="A46" s="224" t="s">
        <v>104</v>
      </c>
      <c r="B46" s="225" t="e">
        <f>SUM(B38:B45)</f>
        <v>#DIV/0!</v>
      </c>
      <c r="C46" s="132"/>
      <c r="D46" s="132"/>
      <c r="E46" s="132"/>
      <c r="F46" s="132"/>
      <c r="G46" s="132"/>
      <c r="H46" s="132"/>
      <c r="I46" s="132"/>
      <c r="J46" s="132"/>
      <c r="K46" s="132"/>
      <c r="L46" s="128"/>
      <c r="M46" s="126"/>
      <c r="N46" s="50"/>
      <c r="O46" s="50"/>
      <c r="P46" s="50"/>
      <c r="Q46" s="50"/>
      <c r="R46" s="50"/>
      <c r="S46" s="50"/>
      <c r="T46" s="50"/>
      <c r="U46" s="50"/>
      <c r="V46" s="50"/>
      <c r="W46" s="50"/>
      <c r="X46" s="50"/>
    </row>
    <row r="48" spans="1:24" x14ac:dyDescent="0.3">
      <c r="A48" s="565" t="s">
        <v>66</v>
      </c>
      <c r="B48" s="565"/>
      <c r="C48" s="565"/>
      <c r="D48" s="4"/>
      <c r="H48" s="4"/>
    </row>
    <row r="49" spans="1:29" x14ac:dyDescent="0.3">
      <c r="B49" s="266" t="s">
        <v>67</v>
      </c>
      <c r="C49" s="266" t="s">
        <v>68</v>
      </c>
      <c r="D49" s="266" t="s">
        <v>69</v>
      </c>
      <c r="E49" s="266" t="s">
        <v>70</v>
      </c>
      <c r="F49" s="266" t="s">
        <v>71</v>
      </c>
      <c r="G49" s="266" t="s">
        <v>72</v>
      </c>
      <c r="H49" s="266" t="s">
        <v>73</v>
      </c>
      <c r="I49" s="266" t="s">
        <v>74</v>
      </c>
      <c r="J49" s="266" t="s">
        <v>75</v>
      </c>
      <c r="K49" s="266" t="s">
        <v>76</v>
      </c>
      <c r="L49" s="266" t="s">
        <v>77</v>
      </c>
      <c r="M49" s="266" t="s">
        <v>78</v>
      </c>
    </row>
    <row r="50" spans="1:29" x14ac:dyDescent="0.3">
      <c r="A50" s="397" t="s">
        <v>79</v>
      </c>
      <c r="B50" s="266" t="s">
        <v>80</v>
      </c>
      <c r="C50" s="266" t="s">
        <v>81</v>
      </c>
      <c r="D50" s="266" t="s">
        <v>82</v>
      </c>
      <c r="E50" s="266" t="s">
        <v>83</v>
      </c>
      <c r="F50" s="266" t="s">
        <v>84</v>
      </c>
      <c r="G50" s="266" t="s">
        <v>85</v>
      </c>
      <c r="H50" s="266" t="s">
        <v>86</v>
      </c>
      <c r="I50" s="266" t="s">
        <v>87</v>
      </c>
      <c r="J50" s="266" t="s">
        <v>88</v>
      </c>
      <c r="K50" s="266" t="s">
        <v>89</v>
      </c>
      <c r="L50" s="266" t="s">
        <v>90</v>
      </c>
      <c r="M50" s="266" t="s">
        <v>91</v>
      </c>
    </row>
    <row r="51" spans="1:29" ht="20.25" customHeight="1" x14ac:dyDescent="0.3">
      <c r="A51" s="400" t="s">
        <v>130</v>
      </c>
      <c r="H51" s="4"/>
    </row>
    <row r="52" spans="1:29" ht="14.45" customHeight="1" x14ac:dyDescent="0.3">
      <c r="A52" s="64" t="s">
        <v>131</v>
      </c>
      <c r="B52" s="18">
        <v>0</v>
      </c>
      <c r="C52" s="18">
        <v>0</v>
      </c>
      <c r="D52" s="18">
        <v>0</v>
      </c>
      <c r="E52" s="18">
        <v>0</v>
      </c>
      <c r="F52" s="18">
        <v>0</v>
      </c>
      <c r="G52" s="18">
        <v>0</v>
      </c>
      <c r="H52" s="18">
        <v>0.11</v>
      </c>
      <c r="I52" s="18">
        <v>0.8</v>
      </c>
      <c r="J52" s="18">
        <v>0.09</v>
      </c>
      <c r="K52" s="18">
        <v>0</v>
      </c>
      <c r="L52" s="18">
        <v>0</v>
      </c>
      <c r="M52" s="18">
        <v>0</v>
      </c>
      <c r="N52" s="571" t="s">
        <v>811</v>
      </c>
      <c r="O52" s="572"/>
      <c r="P52" s="572"/>
      <c r="S52" s="11"/>
    </row>
    <row r="53" spans="1:29" ht="14.45" customHeight="1" x14ac:dyDescent="0.3">
      <c r="A53" s="64" t="s">
        <v>119</v>
      </c>
      <c r="B53" s="18">
        <v>0</v>
      </c>
      <c r="C53" s="18">
        <v>0</v>
      </c>
      <c r="D53" s="18">
        <v>0</v>
      </c>
      <c r="E53" s="18">
        <v>0</v>
      </c>
      <c r="F53" s="18">
        <v>0</v>
      </c>
      <c r="G53" s="18">
        <v>0</v>
      </c>
      <c r="H53" s="18">
        <v>0.06</v>
      </c>
      <c r="I53" s="18">
        <v>0.81</v>
      </c>
      <c r="J53" s="18">
        <f>AVERAGE(0.194,0.069)</f>
        <v>0.13150000000000001</v>
      </c>
      <c r="K53" s="18">
        <v>0</v>
      </c>
      <c r="L53" s="18">
        <v>0</v>
      </c>
      <c r="M53" s="18">
        <v>0</v>
      </c>
      <c r="N53" s="571" t="s">
        <v>811</v>
      </c>
      <c r="O53" s="572"/>
      <c r="P53" s="572"/>
      <c r="S53" s="11"/>
    </row>
    <row r="54" spans="1:29" ht="14.45" customHeight="1" x14ac:dyDescent="0.3">
      <c r="A54" s="64" t="s">
        <v>120</v>
      </c>
      <c r="B54" s="18">
        <v>0</v>
      </c>
      <c r="C54" s="18">
        <v>0</v>
      </c>
      <c r="D54" s="18">
        <v>0</v>
      </c>
      <c r="E54" s="18">
        <v>0</v>
      </c>
      <c r="F54" s="18">
        <v>0</v>
      </c>
      <c r="G54" s="18">
        <v>0</v>
      </c>
      <c r="H54" s="18">
        <v>0.02</v>
      </c>
      <c r="I54" s="18">
        <v>0.87</v>
      </c>
      <c r="J54" s="18">
        <v>0.11</v>
      </c>
      <c r="K54" s="18">
        <v>0</v>
      </c>
      <c r="L54" s="18">
        <v>0</v>
      </c>
      <c r="M54" s="18">
        <v>0</v>
      </c>
      <c r="N54" s="571" t="s">
        <v>811</v>
      </c>
      <c r="O54" s="572"/>
      <c r="P54" s="572"/>
      <c r="S54" s="11"/>
    </row>
    <row r="55" spans="1:29" ht="14.45" customHeight="1" x14ac:dyDescent="0.3">
      <c r="A55" s="64" t="s">
        <v>121</v>
      </c>
      <c r="B55" s="18">
        <v>0</v>
      </c>
      <c r="C55" s="18">
        <v>0</v>
      </c>
      <c r="D55" s="18">
        <v>0</v>
      </c>
      <c r="E55" s="18">
        <v>0</v>
      </c>
      <c r="F55" s="18">
        <v>0</v>
      </c>
      <c r="G55" s="18">
        <v>0</v>
      </c>
      <c r="H55" s="18">
        <v>8.7999999999999995E-2</v>
      </c>
      <c r="I55" s="18">
        <v>0.87</v>
      </c>
      <c r="J55" s="18">
        <v>0.04</v>
      </c>
      <c r="K55" s="18">
        <v>0</v>
      </c>
      <c r="L55" s="18">
        <v>0</v>
      </c>
      <c r="M55" s="18">
        <v>0</v>
      </c>
      <c r="N55" s="571" t="s">
        <v>811</v>
      </c>
      <c r="O55" s="572"/>
      <c r="P55" s="572"/>
      <c r="S55" s="11"/>
    </row>
    <row r="56" spans="1:29" ht="14.45" customHeight="1" x14ac:dyDescent="0.3">
      <c r="A56" s="64" t="s">
        <v>122</v>
      </c>
      <c r="B56" s="18">
        <v>0</v>
      </c>
      <c r="C56" s="18">
        <v>0</v>
      </c>
      <c r="D56" s="18">
        <v>0</v>
      </c>
      <c r="E56" s="18">
        <v>0</v>
      </c>
      <c r="F56" s="18">
        <v>0</v>
      </c>
      <c r="G56" s="18">
        <v>0</v>
      </c>
      <c r="H56" s="18">
        <v>0.104</v>
      </c>
      <c r="I56" s="18">
        <v>0.78266666666666662</v>
      </c>
      <c r="J56" s="18">
        <v>0.11333333333333333</v>
      </c>
      <c r="K56" s="18">
        <v>0</v>
      </c>
      <c r="L56" s="18">
        <v>0</v>
      </c>
      <c r="M56" s="18">
        <v>0</v>
      </c>
      <c r="N56" s="571" t="s">
        <v>811</v>
      </c>
      <c r="O56" s="572"/>
      <c r="P56" s="572"/>
      <c r="S56" s="11"/>
    </row>
    <row r="57" spans="1:29" ht="14.45" customHeight="1" x14ac:dyDescent="0.3">
      <c r="A57" s="64" t="s">
        <v>123</v>
      </c>
      <c r="B57" s="18">
        <v>0</v>
      </c>
      <c r="C57" s="18">
        <v>0</v>
      </c>
      <c r="D57" s="18">
        <v>0</v>
      </c>
      <c r="E57" s="18">
        <v>0</v>
      </c>
      <c r="F57" s="18">
        <v>0</v>
      </c>
      <c r="G57" s="18">
        <v>0</v>
      </c>
      <c r="H57" s="18">
        <v>0.27</v>
      </c>
      <c r="I57" s="18">
        <v>0.6</v>
      </c>
      <c r="J57" s="18">
        <v>0.13</v>
      </c>
      <c r="K57" s="18">
        <v>0</v>
      </c>
      <c r="L57" s="18">
        <v>0</v>
      </c>
      <c r="M57" s="18">
        <v>0</v>
      </c>
      <c r="N57" s="571" t="s">
        <v>811</v>
      </c>
      <c r="O57" s="572"/>
      <c r="P57" s="572"/>
      <c r="S57" s="11"/>
    </row>
    <row r="58" spans="1:29" ht="14.45" customHeight="1" x14ac:dyDescent="0.3">
      <c r="A58" s="64" t="s">
        <v>124</v>
      </c>
      <c r="B58" s="18">
        <v>0</v>
      </c>
      <c r="C58" s="18">
        <v>0</v>
      </c>
      <c r="D58" s="18">
        <v>0</v>
      </c>
      <c r="E58" s="18">
        <v>0</v>
      </c>
      <c r="F58" s="18">
        <v>0</v>
      </c>
      <c r="G58" s="18">
        <v>0</v>
      </c>
      <c r="H58" s="18">
        <v>0.15</v>
      </c>
      <c r="I58" s="18">
        <v>0.68</v>
      </c>
      <c r="J58" s="18">
        <v>0.17</v>
      </c>
      <c r="K58" s="18">
        <v>0</v>
      </c>
      <c r="L58" s="18">
        <v>0</v>
      </c>
      <c r="M58" s="18">
        <v>0</v>
      </c>
      <c r="N58" s="571" t="s">
        <v>811</v>
      </c>
      <c r="O58" s="572"/>
      <c r="P58" s="572"/>
      <c r="S58" s="11"/>
    </row>
    <row r="59" spans="1:29" ht="14.45" customHeight="1" x14ac:dyDescent="0.3">
      <c r="A59" s="64" t="s">
        <v>125</v>
      </c>
      <c r="B59" s="18">
        <v>0</v>
      </c>
      <c r="C59" s="18">
        <v>0</v>
      </c>
      <c r="D59" s="18">
        <v>0</v>
      </c>
      <c r="E59" s="18">
        <v>0</v>
      </c>
      <c r="F59" s="18">
        <v>0</v>
      </c>
      <c r="G59" s="18">
        <v>0</v>
      </c>
      <c r="H59" s="18">
        <v>0.18</v>
      </c>
      <c r="I59" s="18">
        <v>0.65800000000000003</v>
      </c>
      <c r="J59" s="18">
        <v>0.16200000000000001</v>
      </c>
      <c r="K59" s="18">
        <v>0</v>
      </c>
      <c r="L59" s="18">
        <v>0</v>
      </c>
      <c r="M59" s="18">
        <v>0</v>
      </c>
      <c r="N59" s="571" t="s">
        <v>811</v>
      </c>
      <c r="O59" s="572"/>
      <c r="P59" s="572"/>
      <c r="S59" s="11"/>
    </row>
    <row r="60" spans="1:29" s="1" customFormat="1" x14ac:dyDescent="0.3">
      <c r="A60" s="232" t="s">
        <v>132</v>
      </c>
      <c r="B60" s="71">
        <f t="shared" ref="B60:M60" si="3">AVERAGE(B52:B59)</f>
        <v>0</v>
      </c>
      <c r="C60" s="71">
        <f t="shared" si="3"/>
        <v>0</v>
      </c>
      <c r="D60" s="71">
        <f t="shared" si="3"/>
        <v>0</v>
      </c>
      <c r="E60" s="71">
        <f t="shared" si="3"/>
        <v>0</v>
      </c>
      <c r="F60" s="71">
        <f t="shared" si="3"/>
        <v>0</v>
      </c>
      <c r="G60" s="71">
        <f t="shared" si="3"/>
        <v>0</v>
      </c>
      <c r="H60" s="71">
        <f t="shared" si="3"/>
        <v>0.12275</v>
      </c>
      <c r="I60" s="71">
        <f t="shared" si="3"/>
        <v>0.75883333333333336</v>
      </c>
      <c r="J60" s="71">
        <f t="shared" si="3"/>
        <v>0.11835416666666668</v>
      </c>
      <c r="K60" s="71">
        <f t="shared" si="3"/>
        <v>0</v>
      </c>
      <c r="L60" s="71">
        <f t="shared" si="3"/>
        <v>0</v>
      </c>
      <c r="M60" s="71">
        <f t="shared" si="3"/>
        <v>0</v>
      </c>
      <c r="N60" s="4" t="s">
        <v>132</v>
      </c>
      <c r="O60" s="4"/>
      <c r="P60" s="4"/>
      <c r="Q60" s="4"/>
      <c r="R60" s="4"/>
      <c r="S60" s="4"/>
      <c r="T60" s="3"/>
      <c r="U60" s="3"/>
      <c r="V60" s="3"/>
      <c r="W60" s="3"/>
      <c r="X60" s="3"/>
      <c r="Y60"/>
      <c r="Z60"/>
      <c r="AA60"/>
      <c r="AB60"/>
      <c r="AC60"/>
    </row>
    <row r="62" spans="1:29" x14ac:dyDescent="0.3">
      <c r="A62" s="4"/>
      <c r="I62" s="11"/>
    </row>
    <row r="63" spans="1:29" ht="18" x14ac:dyDescent="0.3">
      <c r="A63" s="43" t="s">
        <v>94</v>
      </c>
      <c r="B63" s="43"/>
      <c r="C63" s="43"/>
      <c r="D63" s="4"/>
      <c r="H63" s="22"/>
      <c r="I63" s="11"/>
    </row>
    <row r="64" spans="1:29" x14ac:dyDescent="0.3">
      <c r="A64" s="4"/>
      <c r="B64" s="4"/>
      <c r="C64" s="4"/>
      <c r="D64" s="4"/>
    </row>
    <row r="65" spans="1:14" x14ac:dyDescent="0.3">
      <c r="A65" s="77"/>
      <c r="B65" s="266" t="s">
        <v>103</v>
      </c>
      <c r="C65" s="266" t="s">
        <v>68</v>
      </c>
      <c r="D65" s="266" t="s">
        <v>69</v>
      </c>
      <c r="E65" s="266" t="s">
        <v>70</v>
      </c>
      <c r="F65" s="266" t="s">
        <v>71</v>
      </c>
      <c r="G65" s="266" t="s">
        <v>72</v>
      </c>
      <c r="H65" s="266" t="s">
        <v>73</v>
      </c>
      <c r="I65" s="266" t="s">
        <v>74</v>
      </c>
      <c r="J65" s="266" t="s">
        <v>75</v>
      </c>
      <c r="K65" s="266" t="s">
        <v>76</v>
      </c>
      <c r="L65" s="266" t="s">
        <v>77</v>
      </c>
      <c r="M65" s="266" t="s">
        <v>78</v>
      </c>
      <c r="N65" s="12"/>
    </row>
    <row r="66" spans="1:14" x14ac:dyDescent="0.3">
      <c r="A66" s="401" t="s">
        <v>130</v>
      </c>
      <c r="B66" s="266" t="s">
        <v>80</v>
      </c>
      <c r="C66" s="266" t="s">
        <v>81</v>
      </c>
      <c r="D66" s="266" t="s">
        <v>133</v>
      </c>
      <c r="E66" s="266" t="s">
        <v>134</v>
      </c>
      <c r="F66" s="266" t="s">
        <v>84</v>
      </c>
      <c r="G66" s="266" t="s">
        <v>85</v>
      </c>
      <c r="H66" s="266" t="s">
        <v>86</v>
      </c>
      <c r="I66" s="266" t="s">
        <v>87</v>
      </c>
      <c r="J66" s="266" t="s">
        <v>88</v>
      </c>
      <c r="K66" s="266" t="s">
        <v>89</v>
      </c>
      <c r="L66" s="266" t="s">
        <v>90</v>
      </c>
      <c r="M66" s="266" t="s">
        <v>91</v>
      </c>
      <c r="N66" s="12"/>
    </row>
    <row r="67" spans="1:14" x14ac:dyDescent="0.3">
      <c r="A67" s="64" t="s">
        <v>118</v>
      </c>
      <c r="B67" s="19" t="e">
        <f t="shared" ref="B67:M67" si="4">$B$38*B52</f>
        <v>#DIV/0!</v>
      </c>
      <c r="C67" s="19" t="e">
        <f t="shared" si="4"/>
        <v>#DIV/0!</v>
      </c>
      <c r="D67" s="19" t="e">
        <f t="shared" si="4"/>
        <v>#DIV/0!</v>
      </c>
      <c r="E67" s="19" t="e">
        <f t="shared" si="4"/>
        <v>#DIV/0!</v>
      </c>
      <c r="F67" s="19" t="e">
        <f t="shared" si="4"/>
        <v>#DIV/0!</v>
      </c>
      <c r="G67" s="19" t="e">
        <f t="shared" si="4"/>
        <v>#DIV/0!</v>
      </c>
      <c r="H67" s="19" t="e">
        <f t="shared" si="4"/>
        <v>#DIV/0!</v>
      </c>
      <c r="I67" s="19" t="e">
        <f t="shared" si="4"/>
        <v>#DIV/0!</v>
      </c>
      <c r="J67" s="19" t="e">
        <f t="shared" si="4"/>
        <v>#DIV/0!</v>
      </c>
      <c r="K67" s="19" t="e">
        <f t="shared" si="4"/>
        <v>#DIV/0!</v>
      </c>
      <c r="L67" s="19" t="e">
        <f t="shared" si="4"/>
        <v>#DIV/0!</v>
      </c>
      <c r="M67" s="19" t="e">
        <f t="shared" si="4"/>
        <v>#DIV/0!</v>
      </c>
      <c r="N67" s="12"/>
    </row>
    <row r="68" spans="1:14" x14ac:dyDescent="0.3">
      <c r="A68" s="64" t="s">
        <v>119</v>
      </c>
      <c r="B68" s="19" t="e">
        <f t="shared" ref="B68:M68" si="5">$B$39*B53</f>
        <v>#DIV/0!</v>
      </c>
      <c r="C68" s="19" t="e">
        <f t="shared" si="5"/>
        <v>#DIV/0!</v>
      </c>
      <c r="D68" s="19" t="e">
        <f t="shared" si="5"/>
        <v>#DIV/0!</v>
      </c>
      <c r="E68" s="19" t="e">
        <f t="shared" si="5"/>
        <v>#DIV/0!</v>
      </c>
      <c r="F68" s="19" t="e">
        <f t="shared" si="5"/>
        <v>#DIV/0!</v>
      </c>
      <c r="G68" s="19" t="e">
        <f t="shared" si="5"/>
        <v>#DIV/0!</v>
      </c>
      <c r="H68" s="19" t="e">
        <f t="shared" si="5"/>
        <v>#DIV/0!</v>
      </c>
      <c r="I68" s="19" t="e">
        <f t="shared" si="5"/>
        <v>#DIV/0!</v>
      </c>
      <c r="J68" s="19" t="e">
        <f t="shared" si="5"/>
        <v>#DIV/0!</v>
      </c>
      <c r="K68" s="19" t="e">
        <f t="shared" si="5"/>
        <v>#DIV/0!</v>
      </c>
      <c r="L68" s="19" t="e">
        <f t="shared" si="5"/>
        <v>#DIV/0!</v>
      </c>
      <c r="M68" s="19" t="e">
        <f t="shared" si="5"/>
        <v>#DIV/0!</v>
      </c>
      <c r="N68" s="12"/>
    </row>
    <row r="69" spans="1:14" x14ac:dyDescent="0.3">
      <c r="A69" s="64" t="s">
        <v>120</v>
      </c>
      <c r="B69" s="19" t="e">
        <f t="shared" ref="B69:M69" si="6">$B$40*B54</f>
        <v>#DIV/0!</v>
      </c>
      <c r="C69" s="19" t="e">
        <f t="shared" si="6"/>
        <v>#DIV/0!</v>
      </c>
      <c r="D69" s="19" t="e">
        <f t="shared" si="6"/>
        <v>#DIV/0!</v>
      </c>
      <c r="E69" s="19" t="e">
        <f t="shared" si="6"/>
        <v>#DIV/0!</v>
      </c>
      <c r="F69" s="19" t="e">
        <f t="shared" si="6"/>
        <v>#DIV/0!</v>
      </c>
      <c r="G69" s="19" t="e">
        <f t="shared" si="6"/>
        <v>#DIV/0!</v>
      </c>
      <c r="H69" s="19" t="e">
        <f t="shared" si="6"/>
        <v>#DIV/0!</v>
      </c>
      <c r="I69" s="19" t="e">
        <f t="shared" si="6"/>
        <v>#DIV/0!</v>
      </c>
      <c r="J69" s="19" t="e">
        <f t="shared" si="6"/>
        <v>#DIV/0!</v>
      </c>
      <c r="K69" s="19" t="e">
        <f t="shared" si="6"/>
        <v>#DIV/0!</v>
      </c>
      <c r="L69" s="19" t="e">
        <f t="shared" si="6"/>
        <v>#DIV/0!</v>
      </c>
      <c r="M69" s="19" t="e">
        <f t="shared" si="6"/>
        <v>#DIV/0!</v>
      </c>
      <c r="N69" s="12"/>
    </row>
    <row r="70" spans="1:14" x14ac:dyDescent="0.3">
      <c r="A70" s="64" t="s">
        <v>121</v>
      </c>
      <c r="B70" s="19" t="e">
        <f t="shared" ref="B70:M70" si="7">$B$41*B55</f>
        <v>#DIV/0!</v>
      </c>
      <c r="C70" s="19" t="e">
        <f t="shared" si="7"/>
        <v>#DIV/0!</v>
      </c>
      <c r="D70" s="19" t="e">
        <f t="shared" si="7"/>
        <v>#DIV/0!</v>
      </c>
      <c r="E70" s="19" t="e">
        <f t="shared" si="7"/>
        <v>#DIV/0!</v>
      </c>
      <c r="F70" s="19" t="e">
        <f t="shared" si="7"/>
        <v>#DIV/0!</v>
      </c>
      <c r="G70" s="19" t="e">
        <f t="shared" si="7"/>
        <v>#DIV/0!</v>
      </c>
      <c r="H70" s="19" t="e">
        <f t="shared" si="7"/>
        <v>#DIV/0!</v>
      </c>
      <c r="I70" s="19" t="e">
        <f t="shared" si="7"/>
        <v>#DIV/0!</v>
      </c>
      <c r="J70" s="19" t="e">
        <f t="shared" si="7"/>
        <v>#DIV/0!</v>
      </c>
      <c r="K70" s="19" t="e">
        <f t="shared" si="7"/>
        <v>#DIV/0!</v>
      </c>
      <c r="L70" s="19" t="e">
        <f t="shared" si="7"/>
        <v>#DIV/0!</v>
      </c>
      <c r="M70" s="19" t="e">
        <f t="shared" si="7"/>
        <v>#DIV/0!</v>
      </c>
      <c r="N70" s="12"/>
    </row>
    <row r="71" spans="1:14" x14ac:dyDescent="0.3">
      <c r="A71" s="64" t="s">
        <v>122</v>
      </c>
      <c r="B71" s="19" t="e">
        <f t="shared" ref="B71:M71" si="8">$B$42*B56</f>
        <v>#DIV/0!</v>
      </c>
      <c r="C71" s="19" t="e">
        <f t="shared" si="8"/>
        <v>#DIV/0!</v>
      </c>
      <c r="D71" s="19" t="e">
        <f t="shared" si="8"/>
        <v>#DIV/0!</v>
      </c>
      <c r="E71" s="19" t="e">
        <f t="shared" si="8"/>
        <v>#DIV/0!</v>
      </c>
      <c r="F71" s="19" t="e">
        <f t="shared" si="8"/>
        <v>#DIV/0!</v>
      </c>
      <c r="G71" s="19" t="e">
        <f t="shared" si="8"/>
        <v>#DIV/0!</v>
      </c>
      <c r="H71" s="19" t="e">
        <f t="shared" si="8"/>
        <v>#DIV/0!</v>
      </c>
      <c r="I71" s="19" t="e">
        <f t="shared" si="8"/>
        <v>#DIV/0!</v>
      </c>
      <c r="J71" s="19" t="e">
        <f t="shared" si="8"/>
        <v>#DIV/0!</v>
      </c>
      <c r="K71" s="19" t="e">
        <f t="shared" si="8"/>
        <v>#DIV/0!</v>
      </c>
      <c r="L71" s="19" t="e">
        <f t="shared" si="8"/>
        <v>#DIV/0!</v>
      </c>
      <c r="M71" s="19" t="e">
        <f t="shared" si="8"/>
        <v>#DIV/0!</v>
      </c>
      <c r="N71" s="12"/>
    </row>
    <row r="72" spans="1:14" x14ac:dyDescent="0.3">
      <c r="A72" s="64" t="s">
        <v>123</v>
      </c>
      <c r="B72" s="19" t="e">
        <f t="shared" ref="B72:M72" si="9">$B$43*B57</f>
        <v>#DIV/0!</v>
      </c>
      <c r="C72" s="19" t="e">
        <f t="shared" si="9"/>
        <v>#DIV/0!</v>
      </c>
      <c r="D72" s="19" t="e">
        <f t="shared" si="9"/>
        <v>#DIV/0!</v>
      </c>
      <c r="E72" s="19" t="e">
        <f t="shared" si="9"/>
        <v>#DIV/0!</v>
      </c>
      <c r="F72" s="19" t="e">
        <f t="shared" si="9"/>
        <v>#DIV/0!</v>
      </c>
      <c r="G72" s="19" t="e">
        <f t="shared" si="9"/>
        <v>#DIV/0!</v>
      </c>
      <c r="H72" s="19" t="e">
        <f t="shared" si="9"/>
        <v>#DIV/0!</v>
      </c>
      <c r="I72" s="19" t="e">
        <f t="shared" si="9"/>
        <v>#DIV/0!</v>
      </c>
      <c r="J72" s="19" t="e">
        <f t="shared" si="9"/>
        <v>#DIV/0!</v>
      </c>
      <c r="K72" s="19" t="e">
        <f t="shared" si="9"/>
        <v>#DIV/0!</v>
      </c>
      <c r="L72" s="19" t="e">
        <f t="shared" si="9"/>
        <v>#DIV/0!</v>
      </c>
      <c r="M72" s="19" t="e">
        <f t="shared" si="9"/>
        <v>#DIV/0!</v>
      </c>
      <c r="N72" s="12"/>
    </row>
    <row r="73" spans="1:14" x14ac:dyDescent="0.3">
      <c r="A73" s="64" t="s">
        <v>124</v>
      </c>
      <c r="B73" s="19" t="e">
        <f t="shared" ref="B73:M73" si="10">$B$44*B58</f>
        <v>#DIV/0!</v>
      </c>
      <c r="C73" s="19" t="e">
        <f t="shared" si="10"/>
        <v>#DIV/0!</v>
      </c>
      <c r="D73" s="19" t="e">
        <f t="shared" si="10"/>
        <v>#DIV/0!</v>
      </c>
      <c r="E73" s="19" t="e">
        <f t="shared" si="10"/>
        <v>#DIV/0!</v>
      </c>
      <c r="F73" s="19" t="e">
        <f t="shared" si="10"/>
        <v>#DIV/0!</v>
      </c>
      <c r="G73" s="19" t="e">
        <f t="shared" si="10"/>
        <v>#DIV/0!</v>
      </c>
      <c r="H73" s="19" t="e">
        <f t="shared" si="10"/>
        <v>#DIV/0!</v>
      </c>
      <c r="I73" s="19" t="e">
        <f t="shared" si="10"/>
        <v>#DIV/0!</v>
      </c>
      <c r="J73" s="19" t="e">
        <f t="shared" si="10"/>
        <v>#DIV/0!</v>
      </c>
      <c r="K73" s="19" t="e">
        <f t="shared" si="10"/>
        <v>#DIV/0!</v>
      </c>
      <c r="L73" s="19" t="e">
        <f t="shared" si="10"/>
        <v>#DIV/0!</v>
      </c>
      <c r="M73" s="19" t="e">
        <f t="shared" si="10"/>
        <v>#DIV/0!</v>
      </c>
      <c r="N73" s="12"/>
    </row>
    <row r="74" spans="1:14" x14ac:dyDescent="0.3">
      <c r="A74" s="64" t="s">
        <v>125</v>
      </c>
      <c r="B74" s="19" t="e">
        <f t="shared" ref="B74:M74" si="11">$B$45*B59</f>
        <v>#DIV/0!</v>
      </c>
      <c r="C74" s="19" t="e">
        <f t="shared" si="11"/>
        <v>#DIV/0!</v>
      </c>
      <c r="D74" s="19" t="e">
        <f t="shared" si="11"/>
        <v>#DIV/0!</v>
      </c>
      <c r="E74" s="19" t="e">
        <f t="shared" si="11"/>
        <v>#DIV/0!</v>
      </c>
      <c r="F74" s="19" t="e">
        <f t="shared" si="11"/>
        <v>#DIV/0!</v>
      </c>
      <c r="G74" s="19" t="e">
        <f t="shared" si="11"/>
        <v>#DIV/0!</v>
      </c>
      <c r="H74" s="19" t="e">
        <f t="shared" si="11"/>
        <v>#DIV/0!</v>
      </c>
      <c r="I74" s="19" t="e">
        <f t="shared" si="11"/>
        <v>#DIV/0!</v>
      </c>
      <c r="J74" s="19" t="e">
        <f t="shared" si="11"/>
        <v>#DIV/0!</v>
      </c>
      <c r="K74" s="19" t="e">
        <f t="shared" si="11"/>
        <v>#DIV/0!</v>
      </c>
      <c r="L74" s="19" t="e">
        <f t="shared" si="11"/>
        <v>#DIV/0!</v>
      </c>
      <c r="M74" s="19" t="e">
        <f t="shared" si="11"/>
        <v>#DIV/0!</v>
      </c>
      <c r="N74" s="12"/>
    </row>
    <row r="75" spans="1:14" x14ac:dyDescent="0.3">
      <c r="A75" s="6"/>
      <c r="B75" s="12"/>
      <c r="C75" s="12"/>
      <c r="D75" s="12"/>
      <c r="E75" s="12"/>
      <c r="F75" s="12"/>
      <c r="G75" s="12"/>
      <c r="H75" s="12"/>
      <c r="I75" s="12"/>
      <c r="J75" s="12"/>
      <c r="K75" s="12"/>
      <c r="L75" s="12"/>
      <c r="M75" s="12"/>
      <c r="N75" s="12"/>
    </row>
    <row r="76" spans="1:14" ht="18" x14ac:dyDescent="0.3">
      <c r="A76" s="43" t="s">
        <v>859</v>
      </c>
      <c r="B76" s="43"/>
      <c r="C76" s="43"/>
      <c r="D76" s="43"/>
      <c r="E76" s="12"/>
      <c r="F76" s="12"/>
      <c r="G76" s="12"/>
      <c r="H76" s="12"/>
      <c r="I76" s="12"/>
      <c r="J76" s="12"/>
      <c r="K76" s="12"/>
      <c r="L76" s="12"/>
      <c r="M76" s="12"/>
      <c r="N76" s="28" t="s">
        <v>104</v>
      </c>
    </row>
    <row r="77" spans="1:14" ht="18" x14ac:dyDescent="0.3">
      <c r="A77" s="243" t="s">
        <v>846</v>
      </c>
      <c r="B77" s="223" t="str">
        <f>IF($B$3 = "", "", SUM(B67:B74))</f>
        <v/>
      </c>
      <c r="C77" s="223" t="str">
        <f t="shared" ref="C77:M77" si="12">IF($B$3 = "", "", SUM(C67:C74))</f>
        <v/>
      </c>
      <c r="D77" s="223" t="str">
        <f t="shared" si="12"/>
        <v/>
      </c>
      <c r="E77" s="223" t="str">
        <f t="shared" si="12"/>
        <v/>
      </c>
      <c r="F77" s="223" t="str">
        <f t="shared" si="12"/>
        <v/>
      </c>
      <c r="G77" s="223" t="str">
        <f t="shared" si="12"/>
        <v/>
      </c>
      <c r="H77" s="223" t="str">
        <f t="shared" si="12"/>
        <v/>
      </c>
      <c r="I77" s="223" t="str">
        <f t="shared" si="12"/>
        <v/>
      </c>
      <c r="J77" s="223" t="str">
        <f t="shared" si="12"/>
        <v/>
      </c>
      <c r="K77" s="223" t="str">
        <f t="shared" si="12"/>
        <v/>
      </c>
      <c r="L77" s="223" t="str">
        <f t="shared" si="12"/>
        <v/>
      </c>
      <c r="M77" s="223" t="str">
        <f t="shared" si="12"/>
        <v/>
      </c>
      <c r="N77" s="34">
        <f>SUM(C77:M77)</f>
        <v>0</v>
      </c>
    </row>
    <row r="78" spans="1:14" x14ac:dyDescent="0.3">
      <c r="B78" s="566"/>
      <c r="C78" s="566"/>
      <c r="D78" s="566"/>
      <c r="E78" s="566"/>
      <c r="F78" s="566"/>
      <c r="G78" s="12"/>
      <c r="H78" s="12"/>
      <c r="I78" s="12"/>
      <c r="J78" s="12"/>
      <c r="K78" s="12"/>
      <c r="L78" s="12"/>
      <c r="M78" s="12"/>
      <c r="N78" s="12"/>
    </row>
  </sheetData>
  <mergeCells count="20">
    <mergeCell ref="C31:E31"/>
    <mergeCell ref="C32:E32"/>
    <mergeCell ref="N59:P59"/>
    <mergeCell ref="A48:C48"/>
    <mergeCell ref="B78:F78"/>
    <mergeCell ref="N52:P52"/>
    <mergeCell ref="N53:P53"/>
    <mergeCell ref="N54:P54"/>
    <mergeCell ref="N55:P55"/>
    <mergeCell ref="N56:P56"/>
    <mergeCell ref="N57:P57"/>
    <mergeCell ref="N58:P58"/>
    <mergeCell ref="C27:E27"/>
    <mergeCell ref="C28:E28"/>
    <mergeCell ref="C29:E29"/>
    <mergeCell ref="C30:E30"/>
    <mergeCell ref="A22:D22"/>
    <mergeCell ref="C24:E24"/>
    <mergeCell ref="C25:E25"/>
    <mergeCell ref="C26:E2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A6ECF-02D6-46E0-9D9B-71604B990C38}">
  <sheetPr codeName="Sheet28"/>
  <dimension ref="A1:AM264"/>
  <sheetViews>
    <sheetView topLeftCell="A20" zoomScale="80" zoomScaleNormal="80" workbookViewId="0">
      <selection activeCell="G13" sqref="G13"/>
    </sheetView>
  </sheetViews>
  <sheetFormatPr defaultColWidth="8.85546875" defaultRowHeight="18.75" x14ac:dyDescent="0.3"/>
  <cols>
    <col min="1" max="1" width="34.140625" style="438" customWidth="1"/>
    <col min="2" max="2" width="72.5703125" style="436" customWidth="1"/>
    <col min="3" max="3" width="40.140625" style="443" bestFit="1" customWidth="1"/>
    <col min="4" max="4" width="32.42578125" style="443" bestFit="1" customWidth="1"/>
    <col min="5" max="5" width="23.5703125" style="443" bestFit="1" customWidth="1"/>
    <col min="6" max="6" width="43" style="443" bestFit="1" customWidth="1"/>
    <col min="7" max="7" width="42.42578125" style="443" customWidth="1"/>
    <col min="8" max="8" width="48.7109375" style="443" bestFit="1" customWidth="1"/>
    <col min="9" max="9" width="25.28515625" style="443" bestFit="1" customWidth="1"/>
    <col min="10" max="10" width="43.28515625" style="443" customWidth="1"/>
    <col min="11" max="11" width="26.85546875" style="443" customWidth="1"/>
    <col min="12" max="12" width="26.7109375" style="443" customWidth="1"/>
    <col min="13" max="14" width="14.85546875" style="451" customWidth="1"/>
    <col min="15" max="15" width="14.85546875" style="443" customWidth="1"/>
    <col min="16" max="23" width="14.85546875" style="451" customWidth="1"/>
    <col min="24" max="25" width="14.85546875" style="443" customWidth="1"/>
    <col min="26" max="26" width="16.7109375" style="443" customWidth="1"/>
    <col min="27" max="27" width="14.7109375" style="443" customWidth="1"/>
    <col min="28" max="28" width="17.28515625" style="443" customWidth="1"/>
    <col min="29" max="29" width="18.7109375" style="435" customWidth="1"/>
    <col min="30" max="31" width="18.7109375" style="436" customWidth="1"/>
    <col min="32" max="35" width="18.7109375" style="437" customWidth="1"/>
    <col min="36" max="37" width="18.7109375" style="436" customWidth="1"/>
    <col min="38" max="38" width="18.7109375" style="438" customWidth="1"/>
    <col min="39" max="39" width="14.7109375" style="438" customWidth="1"/>
    <col min="40" max="40" width="16.7109375" style="438" customWidth="1"/>
    <col min="41" max="16384" width="8.85546875" style="438"/>
  </cols>
  <sheetData>
    <row r="1" spans="1:39" x14ac:dyDescent="0.3">
      <c r="A1" s="431" t="s">
        <v>788</v>
      </c>
      <c r="B1" s="432" t="s">
        <v>149</v>
      </c>
      <c r="C1" s="433"/>
      <c r="D1" s="226"/>
      <c r="E1" s="226"/>
      <c r="F1" s="226"/>
      <c r="G1" s="226"/>
      <c r="H1" s="226"/>
      <c r="I1" s="226"/>
      <c r="J1" s="226"/>
      <c r="K1" s="226"/>
      <c r="L1" s="226"/>
      <c r="M1" s="434"/>
      <c r="N1" s="434"/>
      <c r="O1" s="226"/>
      <c r="P1" s="434"/>
      <c r="Q1" s="434"/>
      <c r="R1" s="434"/>
      <c r="S1" s="434"/>
      <c r="T1" s="434"/>
      <c r="U1" s="434"/>
      <c r="V1" s="434"/>
      <c r="W1" s="434"/>
      <c r="X1" s="226"/>
      <c r="Y1" s="226"/>
      <c r="Z1" s="226"/>
      <c r="AA1" s="226"/>
      <c r="AB1" s="226"/>
    </row>
    <row r="2" spans="1:39" x14ac:dyDescent="0.3">
      <c r="B2" s="439" t="s">
        <v>5</v>
      </c>
      <c r="C2" s="440"/>
      <c r="D2" s="226"/>
      <c r="E2" s="226"/>
      <c r="F2" s="226"/>
      <c r="G2" s="226"/>
      <c r="H2" s="226"/>
      <c r="I2" s="226"/>
      <c r="J2" s="226"/>
      <c r="K2" s="226"/>
      <c r="L2" s="226"/>
      <c r="M2" s="434"/>
      <c r="N2" s="434"/>
      <c r="O2" s="226"/>
      <c r="P2" s="434"/>
      <c r="Q2" s="434"/>
      <c r="R2" s="434"/>
      <c r="S2" s="434"/>
      <c r="T2" s="434"/>
      <c r="U2" s="434"/>
      <c r="V2" s="434"/>
      <c r="W2" s="434"/>
      <c r="X2" s="226"/>
      <c r="Y2" s="226"/>
      <c r="Z2" s="226"/>
      <c r="AA2" s="226"/>
      <c r="AB2" s="226"/>
    </row>
    <row r="3" spans="1:39" x14ac:dyDescent="0.3">
      <c r="A3" s="226"/>
      <c r="B3" s="226"/>
      <c r="C3" s="438"/>
      <c r="D3" s="436"/>
      <c r="E3" s="226"/>
      <c r="F3" s="226"/>
      <c r="G3" s="226"/>
      <c r="H3" s="226"/>
      <c r="I3" s="226"/>
      <c r="J3" s="226"/>
      <c r="K3" s="226"/>
      <c r="L3" s="226"/>
      <c r="M3" s="434"/>
      <c r="N3" s="434"/>
      <c r="O3" s="226"/>
      <c r="P3" s="434"/>
      <c r="Q3" s="434"/>
      <c r="R3" s="434"/>
      <c r="S3" s="434"/>
      <c r="T3" s="434"/>
      <c r="U3" s="434"/>
      <c r="V3" s="434"/>
      <c r="W3" s="434"/>
      <c r="X3" s="226"/>
      <c r="Y3" s="226"/>
      <c r="Z3" s="226"/>
      <c r="AA3" s="226"/>
      <c r="AB3" s="226"/>
    </row>
    <row r="4" spans="1:39" x14ac:dyDescent="0.3">
      <c r="A4" s="441" t="s">
        <v>6</v>
      </c>
      <c r="B4" s="442"/>
      <c r="C4" s="226"/>
      <c r="D4" s="226"/>
      <c r="E4" s="226"/>
      <c r="I4" s="226"/>
      <c r="J4" s="226"/>
      <c r="K4" s="226"/>
      <c r="L4" s="226"/>
      <c r="M4" s="434"/>
      <c r="N4" s="434"/>
      <c r="O4" s="226"/>
      <c r="P4" s="434"/>
      <c r="Q4" s="434"/>
      <c r="R4" s="434"/>
      <c r="S4" s="434"/>
      <c r="T4" s="434"/>
      <c r="U4" s="434"/>
      <c r="V4" s="434"/>
      <c r="W4" s="434"/>
      <c r="X4" s="226"/>
      <c r="Y4" s="226"/>
      <c r="Z4" s="226"/>
      <c r="AA4" s="226"/>
      <c r="AB4" s="226"/>
    </row>
    <row r="5" spans="1:39" x14ac:dyDescent="0.3">
      <c r="A5" s="441" t="s">
        <v>7</v>
      </c>
      <c r="B5" s="442"/>
      <c r="C5" s="226"/>
      <c r="D5" s="226"/>
      <c r="E5" s="226"/>
      <c r="F5" s="226"/>
      <c r="G5" s="226"/>
      <c r="H5" s="226"/>
      <c r="I5" s="226"/>
      <c r="J5" s="226"/>
      <c r="K5" s="226"/>
      <c r="L5" s="226"/>
      <c r="M5" s="434"/>
      <c r="N5" s="434"/>
      <c r="O5" s="226"/>
      <c r="P5" s="434"/>
      <c r="Q5" s="434"/>
      <c r="R5" s="434"/>
      <c r="S5" s="434"/>
      <c r="T5" s="434"/>
      <c r="U5" s="434"/>
      <c r="V5" s="434"/>
      <c r="W5" s="434"/>
      <c r="X5" s="226"/>
      <c r="Y5" s="226"/>
      <c r="Z5" s="226"/>
      <c r="AA5" s="226"/>
      <c r="AB5" s="226"/>
    </row>
    <row r="6" spans="1:39" ht="21" x14ac:dyDescent="0.3">
      <c r="A6" s="441" t="s">
        <v>971</v>
      </c>
      <c r="B6" s="442"/>
      <c r="C6" s="226" t="s">
        <v>835</v>
      </c>
      <c r="D6" s="444"/>
      <c r="E6" s="226"/>
      <c r="F6" s="226"/>
      <c r="G6" s="226"/>
      <c r="H6" s="226"/>
      <c r="I6" s="226"/>
      <c r="J6" s="226"/>
      <c r="K6" s="226"/>
      <c r="L6" s="226"/>
      <c r="M6" s="434"/>
      <c r="N6" s="434"/>
      <c r="O6" s="226"/>
      <c r="P6" s="434"/>
      <c r="Q6" s="434"/>
      <c r="R6" s="434"/>
      <c r="S6" s="434"/>
      <c r="T6" s="434"/>
      <c r="U6" s="434"/>
      <c r="V6" s="434"/>
      <c r="W6" s="434"/>
      <c r="X6" s="226"/>
      <c r="Y6" s="226"/>
      <c r="Z6" s="226"/>
      <c r="AA6" s="226"/>
      <c r="AB6" s="226"/>
    </row>
    <row r="7" spans="1:39" ht="13.35" customHeight="1" x14ac:dyDescent="0.3">
      <c r="A7" s="431"/>
      <c r="B7" s="445"/>
      <c r="C7" s="226"/>
      <c r="D7" s="444"/>
      <c r="E7" s="226"/>
      <c r="F7" s="226"/>
      <c r="G7" s="226"/>
      <c r="H7" s="226"/>
      <c r="I7" s="226"/>
      <c r="J7" s="226"/>
      <c r="K7" s="226"/>
      <c r="L7" s="226"/>
      <c r="M7" s="226"/>
      <c r="N7" s="434"/>
      <c r="O7" s="226"/>
      <c r="P7" s="434"/>
      <c r="Q7" s="434"/>
      <c r="R7" s="434"/>
      <c r="S7" s="434"/>
      <c r="T7" s="434"/>
      <c r="U7" s="434"/>
      <c r="V7" s="434"/>
      <c r="W7" s="434"/>
      <c r="X7" s="226"/>
      <c r="Y7" s="226"/>
      <c r="Z7" s="226"/>
      <c r="AA7" s="226"/>
      <c r="AB7" s="226"/>
    </row>
    <row r="8" spans="1:39" x14ac:dyDescent="0.3">
      <c r="A8" s="582" t="s">
        <v>944</v>
      </c>
      <c r="B8" s="582"/>
      <c r="C8" s="582"/>
      <c r="D8" s="447"/>
      <c r="E8" s="448"/>
      <c r="F8" s="448"/>
      <c r="G8" s="448" t="s">
        <v>876</v>
      </c>
      <c r="H8" s="448"/>
      <c r="I8" s="448"/>
      <c r="J8" s="449"/>
      <c r="K8" s="226"/>
      <c r="L8" s="226"/>
      <c r="M8" s="226"/>
      <c r="N8" s="450"/>
      <c r="X8" s="452"/>
      <c r="Y8" s="452"/>
      <c r="Z8" s="452"/>
      <c r="AL8" s="453"/>
      <c r="AM8" s="453"/>
    </row>
    <row r="9" spans="1:39" ht="16.5" customHeight="1" x14ac:dyDescent="0.3">
      <c r="A9" s="589" t="s">
        <v>44</v>
      </c>
      <c r="B9" s="590"/>
      <c r="C9" s="593" t="s">
        <v>151</v>
      </c>
      <c r="D9" s="595"/>
      <c r="E9" s="596"/>
      <c r="F9" s="597"/>
      <c r="G9" s="455"/>
      <c r="H9" s="593" t="s">
        <v>154</v>
      </c>
      <c r="I9" s="593"/>
      <c r="J9" s="226"/>
      <c r="K9" s="226"/>
      <c r="L9" s="226"/>
      <c r="M9" s="226"/>
    </row>
    <row r="10" spans="1:39" s="462" customFormat="1" ht="58.35" customHeight="1" x14ac:dyDescent="0.25">
      <c r="A10" s="591"/>
      <c r="B10" s="592"/>
      <c r="C10" s="594"/>
      <c r="D10" s="456" t="s">
        <v>790</v>
      </c>
      <c r="E10" s="598" t="s">
        <v>154</v>
      </c>
      <c r="F10" s="598"/>
      <c r="G10" s="457" t="s">
        <v>972</v>
      </c>
      <c r="H10" s="594"/>
      <c r="I10" s="594"/>
      <c r="J10" s="226"/>
      <c r="K10" s="226"/>
      <c r="L10" s="226"/>
      <c r="M10" s="226"/>
      <c r="N10" s="458"/>
      <c r="O10" s="450"/>
      <c r="P10" s="458"/>
      <c r="Q10" s="458"/>
      <c r="R10" s="458"/>
      <c r="S10" s="458"/>
      <c r="T10" s="458"/>
      <c r="U10" s="458"/>
      <c r="V10" s="458"/>
      <c r="W10" s="458"/>
      <c r="X10" s="459"/>
      <c r="Y10" s="459"/>
      <c r="Z10" s="459"/>
      <c r="AA10" s="459"/>
      <c r="AB10" s="459"/>
      <c r="AC10" s="459"/>
      <c r="AD10" s="460"/>
      <c r="AE10" s="460"/>
      <c r="AF10" s="460"/>
      <c r="AG10" s="460"/>
      <c r="AH10" s="459"/>
      <c r="AI10" s="459"/>
      <c r="AJ10" s="461"/>
      <c r="AK10" s="461"/>
    </row>
    <row r="11" spans="1:39" x14ac:dyDescent="0.3">
      <c r="A11" s="584" t="s">
        <v>141</v>
      </c>
      <c r="B11" s="585"/>
      <c r="C11" s="463">
        <v>1</v>
      </c>
      <c r="D11" s="464">
        <v>0.28772500000000001</v>
      </c>
      <c r="E11" s="587" t="s">
        <v>769</v>
      </c>
      <c r="F11" s="588"/>
      <c r="G11" s="464">
        <v>6.9117600000000001E-2</v>
      </c>
      <c r="H11" s="587" t="s">
        <v>769</v>
      </c>
      <c r="I11" s="588"/>
      <c r="J11" s="226"/>
      <c r="K11" s="226"/>
      <c r="L11" s="226"/>
      <c r="M11" s="465"/>
      <c r="N11" s="450"/>
      <c r="O11" s="450"/>
      <c r="P11" s="450"/>
      <c r="Q11" s="450"/>
      <c r="R11" s="450"/>
      <c r="S11" s="450"/>
      <c r="T11" s="450"/>
      <c r="U11" s="450"/>
      <c r="V11" s="450"/>
      <c r="W11" s="450"/>
      <c r="X11" s="436"/>
      <c r="Y11" s="436"/>
      <c r="Z11" s="436"/>
      <c r="AA11" s="445"/>
      <c r="AB11" s="431"/>
      <c r="AC11" s="431"/>
      <c r="AD11" s="466"/>
      <c r="AE11" s="466"/>
      <c r="AF11" s="466"/>
      <c r="AG11" s="466"/>
      <c r="AH11" s="431"/>
      <c r="AI11" s="431"/>
      <c r="AJ11" s="467"/>
      <c r="AK11" s="467"/>
    </row>
    <row r="12" spans="1:39" x14ac:dyDescent="0.3">
      <c r="A12" s="584" t="s">
        <v>142</v>
      </c>
      <c r="B12" s="585"/>
      <c r="C12" s="463">
        <v>2</v>
      </c>
      <c r="D12" s="464">
        <v>0.16539000000000001</v>
      </c>
      <c r="E12" s="587" t="s">
        <v>769</v>
      </c>
      <c r="F12" s="588"/>
      <c r="G12" s="464">
        <v>4.785565E-2</v>
      </c>
      <c r="H12" s="587" t="s">
        <v>769</v>
      </c>
      <c r="I12" s="588"/>
      <c r="J12" s="226"/>
      <c r="K12" s="226"/>
      <c r="L12" s="226"/>
      <c r="M12" s="465"/>
      <c r="N12" s="468"/>
      <c r="O12" s="450"/>
      <c r="P12" s="468"/>
      <c r="Q12" s="468"/>
      <c r="R12" s="468"/>
      <c r="S12" s="468"/>
      <c r="T12" s="468"/>
      <c r="U12" s="468"/>
      <c r="V12" s="468"/>
      <c r="W12" s="468"/>
      <c r="X12" s="469"/>
      <c r="Y12" s="469"/>
      <c r="Z12" s="469"/>
      <c r="AA12" s="445"/>
      <c r="AB12" s="431"/>
      <c r="AC12" s="431"/>
      <c r="AD12" s="466"/>
      <c r="AE12" s="466"/>
      <c r="AF12" s="466"/>
      <c r="AG12" s="466"/>
      <c r="AH12" s="431"/>
      <c r="AI12" s="431"/>
      <c r="AJ12" s="467"/>
      <c r="AK12" s="467"/>
    </row>
    <row r="13" spans="1:39" x14ac:dyDescent="0.3">
      <c r="A13" s="584" t="s">
        <v>140</v>
      </c>
      <c r="B13" s="585"/>
      <c r="C13" s="463">
        <v>3</v>
      </c>
      <c r="D13" s="464">
        <v>0.1709</v>
      </c>
      <c r="E13" s="587" t="s">
        <v>769</v>
      </c>
      <c r="F13" s="588"/>
      <c r="G13" s="464">
        <v>2.4434170000000002E-2</v>
      </c>
      <c r="H13" s="587" t="s">
        <v>769</v>
      </c>
      <c r="I13" s="588"/>
      <c r="J13" s="226"/>
      <c r="K13" s="226"/>
      <c r="L13" s="226"/>
      <c r="M13" s="465"/>
      <c r="N13" s="450"/>
      <c r="O13" s="436"/>
      <c r="P13" s="450"/>
      <c r="Q13" s="450"/>
      <c r="R13" s="450"/>
      <c r="S13" s="450"/>
      <c r="T13" s="450"/>
      <c r="U13" s="450"/>
      <c r="V13" s="450"/>
      <c r="W13" s="450"/>
      <c r="X13" s="436"/>
      <c r="Y13" s="436"/>
      <c r="Z13" s="436"/>
      <c r="AA13" s="445"/>
      <c r="AB13" s="431"/>
      <c r="AC13" s="431"/>
      <c r="AD13" s="466"/>
      <c r="AE13" s="466"/>
      <c r="AF13" s="466"/>
      <c r="AG13" s="466"/>
      <c r="AH13" s="431"/>
      <c r="AI13" s="431"/>
      <c r="AJ13" s="467"/>
      <c r="AK13" s="467"/>
    </row>
    <row r="14" spans="1:39" x14ac:dyDescent="0.3">
      <c r="A14" s="584"/>
      <c r="B14" s="585"/>
      <c r="C14" s="463">
        <v>4</v>
      </c>
      <c r="D14" s="470"/>
      <c r="E14" s="586"/>
      <c r="F14" s="586"/>
      <c r="G14" s="472"/>
      <c r="H14" s="586"/>
      <c r="I14" s="586"/>
      <c r="J14" s="226"/>
      <c r="K14" s="226"/>
      <c r="L14" s="226"/>
      <c r="M14" s="465"/>
      <c r="N14" s="450"/>
      <c r="O14" s="436"/>
      <c r="P14" s="450"/>
      <c r="Q14" s="450"/>
      <c r="R14" s="450"/>
      <c r="S14" s="450"/>
      <c r="T14" s="450"/>
      <c r="U14" s="450"/>
      <c r="V14" s="450"/>
      <c r="W14" s="450"/>
      <c r="X14" s="436"/>
      <c r="Y14" s="436"/>
      <c r="Z14" s="436"/>
      <c r="AA14" s="445"/>
      <c r="AB14" s="431"/>
      <c r="AC14" s="431"/>
      <c r="AD14" s="466"/>
      <c r="AE14" s="466"/>
      <c r="AF14" s="466"/>
      <c r="AG14" s="466"/>
      <c r="AH14" s="431"/>
      <c r="AI14" s="431"/>
      <c r="AJ14" s="467"/>
      <c r="AK14" s="467"/>
    </row>
    <row r="15" spans="1:39" x14ac:dyDescent="0.3">
      <c r="A15" s="584"/>
      <c r="B15" s="585"/>
      <c r="C15" s="463">
        <v>5</v>
      </c>
      <c r="D15" s="464"/>
      <c r="E15" s="586"/>
      <c r="F15" s="586"/>
      <c r="G15" s="472"/>
      <c r="H15" s="586"/>
      <c r="I15" s="586"/>
      <c r="J15" s="226"/>
      <c r="K15" s="226"/>
      <c r="L15" s="226"/>
      <c r="M15" s="465"/>
      <c r="N15" s="450"/>
      <c r="O15" s="436"/>
      <c r="P15" s="450"/>
      <c r="Q15" s="450"/>
      <c r="R15" s="450"/>
      <c r="S15" s="450"/>
      <c r="T15" s="450"/>
      <c r="U15" s="450"/>
      <c r="V15" s="450"/>
      <c r="W15" s="450"/>
      <c r="X15" s="436"/>
      <c r="Y15" s="436"/>
      <c r="Z15" s="436"/>
      <c r="AA15" s="445"/>
      <c r="AB15" s="431"/>
      <c r="AC15" s="431"/>
      <c r="AD15" s="466"/>
      <c r="AE15" s="466"/>
      <c r="AF15" s="466"/>
      <c r="AG15" s="466"/>
      <c r="AH15" s="431"/>
      <c r="AI15" s="431"/>
      <c r="AJ15" s="467"/>
      <c r="AK15" s="467"/>
    </row>
    <row r="16" spans="1:39" x14ac:dyDescent="0.3">
      <c r="A16" s="584"/>
      <c r="B16" s="585"/>
      <c r="C16" s="463">
        <v>6</v>
      </c>
      <c r="D16" s="470"/>
      <c r="E16" s="586"/>
      <c r="F16" s="586"/>
      <c r="G16" s="472"/>
      <c r="H16" s="586"/>
      <c r="I16" s="586"/>
      <c r="J16" s="226"/>
      <c r="K16" s="226"/>
      <c r="L16" s="226"/>
      <c r="M16" s="465"/>
      <c r="N16" s="450"/>
      <c r="O16" s="436"/>
      <c r="P16" s="450"/>
      <c r="Q16" s="450"/>
      <c r="R16" s="450"/>
      <c r="S16" s="450"/>
      <c r="T16" s="450"/>
      <c r="U16" s="450"/>
      <c r="V16" s="450"/>
      <c r="W16" s="450"/>
      <c r="X16" s="436"/>
      <c r="Y16" s="436"/>
      <c r="Z16" s="436"/>
      <c r="AA16" s="445"/>
      <c r="AB16" s="431"/>
      <c r="AC16" s="431"/>
      <c r="AD16" s="466"/>
      <c r="AE16" s="466"/>
      <c r="AF16" s="466"/>
      <c r="AG16" s="466"/>
      <c r="AH16" s="431"/>
      <c r="AI16" s="431"/>
      <c r="AJ16" s="467"/>
      <c r="AK16" s="467"/>
    </row>
    <row r="17" spans="1:39" x14ac:dyDescent="0.3">
      <c r="A17" s="584"/>
      <c r="B17" s="585"/>
      <c r="C17" s="463">
        <v>7</v>
      </c>
      <c r="D17" s="470"/>
      <c r="E17" s="586"/>
      <c r="F17" s="586"/>
      <c r="G17" s="472"/>
      <c r="H17" s="586"/>
      <c r="I17" s="586"/>
      <c r="J17" s="226"/>
      <c r="K17" s="226"/>
      <c r="L17" s="226"/>
      <c r="M17" s="465"/>
      <c r="N17" s="450"/>
      <c r="O17" s="436"/>
      <c r="P17" s="450"/>
      <c r="Q17" s="450"/>
      <c r="R17" s="450"/>
      <c r="S17" s="450"/>
      <c r="T17" s="450"/>
      <c r="U17" s="450"/>
      <c r="V17" s="450"/>
      <c r="W17" s="450"/>
      <c r="X17" s="436"/>
      <c r="Y17" s="436"/>
      <c r="Z17" s="436"/>
      <c r="AA17" s="445"/>
      <c r="AB17" s="431"/>
      <c r="AC17" s="431"/>
      <c r="AD17" s="466"/>
      <c r="AE17" s="466"/>
      <c r="AF17" s="466"/>
      <c r="AG17" s="466"/>
      <c r="AH17" s="431"/>
      <c r="AI17" s="431"/>
      <c r="AJ17" s="467"/>
      <c r="AK17" s="467"/>
    </row>
    <row r="18" spans="1:39" x14ac:dyDescent="0.3">
      <c r="A18" s="584"/>
      <c r="B18" s="585"/>
      <c r="C18" s="463">
        <v>8</v>
      </c>
      <c r="D18" s="470"/>
      <c r="E18" s="586"/>
      <c r="F18" s="586"/>
      <c r="G18" s="472"/>
      <c r="H18" s="586"/>
      <c r="I18" s="586"/>
      <c r="J18" s="226"/>
      <c r="K18" s="226"/>
      <c r="L18" s="226"/>
      <c r="M18" s="465"/>
      <c r="N18" s="450"/>
      <c r="O18" s="436"/>
      <c r="P18" s="450"/>
      <c r="Q18" s="450"/>
      <c r="R18" s="450"/>
      <c r="S18" s="450"/>
      <c r="T18" s="450"/>
      <c r="U18" s="450"/>
      <c r="V18" s="450"/>
      <c r="W18" s="450"/>
      <c r="X18" s="436"/>
      <c r="Y18" s="436"/>
      <c r="Z18" s="436"/>
      <c r="AA18" s="445"/>
      <c r="AB18" s="431"/>
      <c r="AC18" s="431"/>
      <c r="AD18" s="466"/>
      <c r="AE18" s="466"/>
      <c r="AF18" s="466"/>
      <c r="AG18" s="466"/>
      <c r="AH18" s="431"/>
      <c r="AI18" s="431"/>
      <c r="AJ18" s="467"/>
      <c r="AK18" s="467"/>
    </row>
    <row r="19" spans="1:39" x14ac:dyDescent="0.3">
      <c r="A19" s="444"/>
      <c r="B19" s="444"/>
      <c r="C19" s="445"/>
      <c r="E19" s="473"/>
      <c r="F19" s="473"/>
      <c r="G19" s="474"/>
      <c r="H19" s="473"/>
      <c r="I19" s="473"/>
      <c r="J19" s="226"/>
      <c r="K19" s="226"/>
      <c r="L19" s="226"/>
      <c r="M19" s="465"/>
      <c r="N19" s="450"/>
      <c r="O19" s="436"/>
      <c r="P19" s="450"/>
      <c r="Q19" s="450"/>
      <c r="R19" s="450"/>
      <c r="S19" s="450"/>
      <c r="T19" s="450"/>
      <c r="U19" s="450"/>
      <c r="V19" s="450"/>
      <c r="W19" s="450"/>
      <c r="X19" s="436"/>
      <c r="Y19" s="436"/>
      <c r="Z19" s="436"/>
      <c r="AA19" s="445"/>
      <c r="AB19" s="431"/>
      <c r="AC19" s="431"/>
      <c r="AD19" s="466"/>
      <c r="AE19" s="466"/>
      <c r="AF19" s="466"/>
      <c r="AG19" s="466"/>
      <c r="AH19" s="431"/>
      <c r="AI19" s="431"/>
      <c r="AJ19" s="467"/>
      <c r="AK19" s="467"/>
    </row>
    <row r="20" spans="1:39" x14ac:dyDescent="0.3">
      <c r="A20" s="582" t="s">
        <v>945</v>
      </c>
      <c r="B20" s="582"/>
      <c r="C20" s="582"/>
      <c r="D20" s="447"/>
      <c r="E20" s="448"/>
      <c r="F20" s="447"/>
      <c r="G20" s="448" t="s">
        <v>797</v>
      </c>
      <c r="H20" s="448"/>
      <c r="I20" s="448"/>
      <c r="J20" s="448"/>
      <c r="K20" s="448"/>
      <c r="L20" s="226"/>
      <c r="M20" s="226"/>
      <c r="N20" s="226"/>
      <c r="X20" s="452"/>
      <c r="Y20" s="452"/>
      <c r="Z20" s="452"/>
      <c r="AL20" s="453"/>
      <c r="AM20" s="453"/>
    </row>
    <row r="21" spans="1:39" x14ac:dyDescent="0.3">
      <c r="A21" s="578" t="s">
        <v>44</v>
      </c>
      <c r="B21" s="578" t="s">
        <v>151</v>
      </c>
      <c r="C21" s="454" t="s">
        <v>103</v>
      </c>
      <c r="D21" s="475" t="s">
        <v>68</v>
      </c>
      <c r="E21" s="476" t="s">
        <v>69</v>
      </c>
      <c r="F21" s="454" t="s">
        <v>70</v>
      </c>
      <c r="G21" s="454" t="s">
        <v>71</v>
      </c>
      <c r="H21" s="454" t="s">
        <v>72</v>
      </c>
      <c r="I21" s="454" t="s">
        <v>73</v>
      </c>
      <c r="J21" s="454" t="s">
        <v>146</v>
      </c>
      <c r="K21" s="454" t="s">
        <v>75</v>
      </c>
      <c r="L21" s="454" t="s">
        <v>76</v>
      </c>
      <c r="M21" s="454" t="s">
        <v>77</v>
      </c>
      <c r="N21" s="454" t="s">
        <v>78</v>
      </c>
      <c r="X21" s="452"/>
      <c r="Y21" s="452"/>
      <c r="Z21" s="452"/>
      <c r="AL21" s="453"/>
      <c r="AM21" s="453"/>
    </row>
    <row r="22" spans="1:39" x14ac:dyDescent="0.3">
      <c r="A22" s="579"/>
      <c r="B22" s="579"/>
      <c r="C22" s="454" t="s">
        <v>80</v>
      </c>
      <c r="D22" s="454" t="s">
        <v>81</v>
      </c>
      <c r="E22" s="454" t="s">
        <v>82</v>
      </c>
      <c r="F22" s="454" t="s">
        <v>83</v>
      </c>
      <c r="G22" s="454" t="s">
        <v>84</v>
      </c>
      <c r="H22" s="454" t="s">
        <v>85</v>
      </c>
      <c r="I22" s="454" t="s">
        <v>86</v>
      </c>
      <c r="J22" s="454" t="s">
        <v>87</v>
      </c>
      <c r="K22" s="454" t="s">
        <v>88</v>
      </c>
      <c r="L22" s="454" t="s">
        <v>89</v>
      </c>
      <c r="M22" s="454" t="s">
        <v>90</v>
      </c>
      <c r="N22" s="454" t="s">
        <v>91</v>
      </c>
      <c r="O22" s="443" t="s">
        <v>154</v>
      </c>
      <c r="X22" s="452"/>
      <c r="Y22" s="452"/>
      <c r="Z22" s="452"/>
      <c r="AL22" s="453"/>
      <c r="AM22" s="453"/>
    </row>
    <row r="23" spans="1:39" x14ac:dyDescent="0.3">
      <c r="A23" s="477" t="str">
        <f>IF($A$11="","",($A$11))</f>
        <v>Ampriroa fragilissima</v>
      </c>
      <c r="B23" s="463">
        <v>1</v>
      </c>
      <c r="C23" s="478">
        <v>5.9220623999999998E-3</v>
      </c>
      <c r="D23" s="472">
        <v>0.19570826120000001</v>
      </c>
      <c r="E23" s="472">
        <v>0.27859411610000001</v>
      </c>
      <c r="F23" s="472">
        <v>0.19304089860000001</v>
      </c>
      <c r="G23" s="472">
        <v>4.7359822900000001E-2</v>
      </c>
      <c r="H23" s="472">
        <v>8.0911908000000001E-3</v>
      </c>
      <c r="I23" s="472">
        <v>1.8444575E-3</v>
      </c>
      <c r="J23" s="472">
        <v>5.8351500000000005E-4</v>
      </c>
      <c r="K23" s="472">
        <v>0.26885567539999999</v>
      </c>
      <c r="L23" s="472">
        <v>0</v>
      </c>
      <c r="M23" s="472">
        <v>0</v>
      </c>
      <c r="N23" s="472">
        <v>0</v>
      </c>
      <c r="O23" s="443" t="s">
        <v>943</v>
      </c>
      <c r="X23" s="452"/>
      <c r="Y23" s="452"/>
      <c r="Z23" s="452"/>
      <c r="AL23" s="453"/>
      <c r="AM23" s="453"/>
    </row>
    <row r="24" spans="1:39" x14ac:dyDescent="0.3">
      <c r="A24" s="477" t="str">
        <f>IF($A$12="","",($A$12))</f>
        <v>Amphiroa tribulus</v>
      </c>
      <c r="B24" s="463">
        <v>2</v>
      </c>
      <c r="C24" s="478">
        <v>0.25524514030000001</v>
      </c>
      <c r="D24" s="472">
        <v>0.39285907799999997</v>
      </c>
      <c r="E24" s="472">
        <v>0.16242662359999999</v>
      </c>
      <c r="F24" s="472">
        <v>3.62576987E-2</v>
      </c>
      <c r="G24" s="472">
        <v>6.5441281000000002E-3</v>
      </c>
      <c r="H24" s="472">
        <v>1.8690935E-3</v>
      </c>
      <c r="I24" s="472">
        <v>6.8577639999999995E-4</v>
      </c>
      <c r="J24" s="472">
        <v>2.643255E-4</v>
      </c>
      <c r="K24" s="472">
        <v>0.14384813599999999</v>
      </c>
      <c r="L24" s="472">
        <v>0</v>
      </c>
      <c r="M24" s="472">
        <v>0</v>
      </c>
      <c r="N24" s="472">
        <v>0</v>
      </c>
      <c r="O24" s="443" t="s">
        <v>943</v>
      </c>
      <c r="X24" s="452"/>
      <c r="Y24" s="452"/>
      <c r="Z24" s="452"/>
      <c r="AL24" s="453"/>
      <c r="AM24" s="453"/>
    </row>
    <row r="25" spans="1:39" x14ac:dyDescent="0.3">
      <c r="A25" s="477" t="str">
        <f>IF($A$13="","",($A$13))</f>
        <v>Tricleocarpa fragilis</v>
      </c>
      <c r="B25" s="463">
        <v>3</v>
      </c>
      <c r="C25" s="478">
        <v>0</v>
      </c>
      <c r="D25" s="472">
        <v>9.9315540000000004E-4</v>
      </c>
      <c r="E25" s="472">
        <v>1.5816535900000001E-2</v>
      </c>
      <c r="F25" s="472">
        <v>3.5953699200000001E-2</v>
      </c>
      <c r="G25" s="472">
        <v>5.9783698599999997E-2</v>
      </c>
      <c r="H25" s="472">
        <v>4.8355659299999999E-2</v>
      </c>
      <c r="I25" s="472">
        <v>5.8617232599999999E-2</v>
      </c>
      <c r="J25" s="472">
        <v>4.9910253100000003E-2</v>
      </c>
      <c r="K25" s="472">
        <v>0.73056976579999999</v>
      </c>
      <c r="L25" s="472">
        <v>0</v>
      </c>
      <c r="M25" s="472">
        <v>0</v>
      </c>
      <c r="N25" s="472">
        <v>0</v>
      </c>
      <c r="O25" s="443" t="s">
        <v>943</v>
      </c>
      <c r="X25" s="452"/>
      <c r="Y25" s="452"/>
      <c r="Z25" s="452"/>
      <c r="AL25" s="453"/>
      <c r="AM25" s="453"/>
    </row>
    <row r="26" spans="1:39" x14ac:dyDescent="0.3">
      <c r="A26" s="479" t="str">
        <f>IF($A$14="","",($A$14))</f>
        <v/>
      </c>
      <c r="B26" s="463">
        <v>4</v>
      </c>
      <c r="C26" s="478"/>
      <c r="D26" s="472"/>
      <c r="E26" s="472"/>
      <c r="F26" s="472"/>
      <c r="G26" s="472"/>
      <c r="H26" s="472"/>
      <c r="I26" s="472"/>
      <c r="J26" s="472"/>
      <c r="K26" s="472"/>
      <c r="L26" s="472"/>
      <c r="M26" s="472"/>
      <c r="N26" s="472"/>
      <c r="X26" s="452"/>
      <c r="Y26" s="452"/>
      <c r="Z26" s="452"/>
      <c r="AL26" s="453"/>
      <c r="AM26" s="453"/>
    </row>
    <row r="27" spans="1:39" x14ac:dyDescent="0.3">
      <c r="A27" s="479" t="str">
        <f>IF($A$15="","",($A$15))</f>
        <v/>
      </c>
      <c r="B27" s="463">
        <v>5</v>
      </c>
      <c r="C27" s="478"/>
      <c r="D27" s="472"/>
      <c r="E27" s="472"/>
      <c r="F27" s="472"/>
      <c r="G27" s="472"/>
      <c r="H27" s="472"/>
      <c r="I27" s="472"/>
      <c r="J27" s="472"/>
      <c r="K27" s="472"/>
      <c r="L27" s="472"/>
      <c r="M27" s="472"/>
      <c r="N27" s="472"/>
      <c r="X27" s="452"/>
      <c r="Y27" s="452"/>
      <c r="Z27" s="452"/>
      <c r="AL27" s="453"/>
      <c r="AM27" s="453"/>
    </row>
    <row r="28" spans="1:39" x14ac:dyDescent="0.3">
      <c r="A28" s="479" t="str">
        <f>IF($A$16="","",($A$16))</f>
        <v/>
      </c>
      <c r="B28" s="463">
        <v>6</v>
      </c>
      <c r="C28" s="480"/>
      <c r="D28" s="481"/>
      <c r="E28" s="481"/>
      <c r="F28" s="481"/>
      <c r="G28" s="481"/>
      <c r="H28" s="481"/>
      <c r="I28" s="481"/>
      <c r="J28" s="481"/>
      <c r="K28" s="481"/>
      <c r="L28" s="472"/>
      <c r="M28" s="472"/>
      <c r="N28" s="472"/>
      <c r="X28" s="452"/>
      <c r="Y28" s="452"/>
      <c r="Z28" s="452"/>
      <c r="AL28" s="453"/>
      <c r="AM28" s="453"/>
    </row>
    <row r="29" spans="1:39" x14ac:dyDescent="0.3">
      <c r="A29" s="479" t="str">
        <f>IF($A$17="","",($A$17))</f>
        <v/>
      </c>
      <c r="B29" s="463">
        <v>7</v>
      </c>
      <c r="C29" s="480"/>
      <c r="D29" s="481"/>
      <c r="E29" s="481"/>
      <c r="F29" s="481"/>
      <c r="G29" s="481"/>
      <c r="H29" s="481"/>
      <c r="I29" s="481"/>
      <c r="J29" s="481"/>
      <c r="K29" s="481"/>
      <c r="L29" s="472"/>
      <c r="M29" s="472"/>
      <c r="N29" s="472"/>
      <c r="X29" s="452"/>
      <c r="Y29" s="452"/>
      <c r="Z29" s="452"/>
      <c r="AL29" s="453"/>
      <c r="AM29" s="453"/>
    </row>
    <row r="30" spans="1:39" x14ac:dyDescent="0.3">
      <c r="A30" s="479" t="str">
        <f>IF($A$18="","",($A$18))</f>
        <v/>
      </c>
      <c r="B30" s="463">
        <v>8</v>
      </c>
      <c r="C30" s="480"/>
      <c r="D30" s="481"/>
      <c r="E30" s="481"/>
      <c r="F30" s="481"/>
      <c r="G30" s="481"/>
      <c r="H30" s="481"/>
      <c r="I30" s="481"/>
      <c r="J30" s="481"/>
      <c r="K30" s="481"/>
      <c r="L30" s="472"/>
      <c r="M30" s="472"/>
      <c r="N30" s="472"/>
      <c r="X30" s="452"/>
      <c r="Y30" s="452"/>
      <c r="Z30" s="452"/>
      <c r="AL30" s="453"/>
      <c r="AM30" s="453"/>
    </row>
    <row r="31" spans="1:39" x14ac:dyDescent="0.3">
      <c r="A31" s="444"/>
      <c r="B31" s="444"/>
      <c r="C31" s="445"/>
      <c r="E31" s="473"/>
      <c r="F31" s="473"/>
      <c r="G31" s="474"/>
      <c r="H31" s="473"/>
      <c r="I31" s="473"/>
      <c r="J31" s="452"/>
      <c r="K31" s="473"/>
      <c r="L31" s="473"/>
      <c r="M31" s="465"/>
      <c r="N31" s="450"/>
      <c r="O31" s="436"/>
      <c r="P31" s="450"/>
      <c r="Q31" s="450"/>
      <c r="R31" s="450"/>
      <c r="S31" s="450"/>
      <c r="T31" s="450"/>
      <c r="U31" s="450"/>
      <c r="V31" s="450"/>
      <c r="W31" s="450"/>
      <c r="X31" s="436"/>
      <c r="Y31" s="436"/>
      <c r="Z31" s="436"/>
      <c r="AA31" s="445"/>
      <c r="AB31" s="431"/>
      <c r="AC31" s="431"/>
      <c r="AD31" s="466"/>
      <c r="AE31" s="466"/>
      <c r="AF31" s="466"/>
      <c r="AG31" s="466"/>
      <c r="AH31" s="431"/>
      <c r="AI31" s="431"/>
      <c r="AJ31" s="467"/>
      <c r="AK31" s="467"/>
    </row>
    <row r="32" spans="1:39" x14ac:dyDescent="0.3">
      <c r="A32" s="446" t="s">
        <v>794</v>
      </c>
      <c r="B32" s="446"/>
      <c r="C32" s="446"/>
      <c r="D32" s="431"/>
      <c r="E32" s="431"/>
      <c r="F32" s="431"/>
      <c r="G32" s="431"/>
      <c r="H32" s="445"/>
      <c r="I32" s="445"/>
      <c r="P32" s="465"/>
      <c r="Q32" s="465"/>
      <c r="R32" s="465"/>
      <c r="S32" s="465"/>
      <c r="T32" s="465"/>
      <c r="U32" s="465"/>
      <c r="V32" s="465"/>
      <c r="W32" s="465"/>
      <c r="X32" s="445"/>
      <c r="Y32" s="445"/>
      <c r="Z32" s="445"/>
      <c r="AA32" s="445"/>
      <c r="AB32" s="445"/>
      <c r="AC32" s="482"/>
      <c r="AD32" s="431"/>
      <c r="AE32" s="431"/>
      <c r="AF32" s="466"/>
      <c r="AG32" s="466"/>
      <c r="AH32" s="466"/>
      <c r="AI32" s="466"/>
      <c r="AJ32" s="431"/>
      <c r="AK32" s="431"/>
      <c r="AL32" s="467"/>
      <c r="AM32" s="467"/>
    </row>
    <row r="33" spans="1:37" x14ac:dyDescent="0.3">
      <c r="C33" s="483"/>
      <c r="D33" s="484" t="s">
        <v>793</v>
      </c>
      <c r="E33" s="485"/>
      <c r="J33" s="483"/>
      <c r="K33" s="484" t="s">
        <v>803</v>
      </c>
      <c r="L33" s="485"/>
      <c r="M33" s="486"/>
      <c r="N33" s="487"/>
      <c r="O33" s="488"/>
      <c r="P33" s="488"/>
      <c r="Q33" s="488"/>
      <c r="R33" s="489" t="s">
        <v>136</v>
      </c>
      <c r="S33" s="488"/>
      <c r="T33" s="488"/>
      <c r="U33" s="490"/>
      <c r="X33" s="473"/>
      <c r="Y33" s="473"/>
      <c r="Z33" s="473"/>
      <c r="AA33" s="438"/>
      <c r="AB33" s="438"/>
      <c r="AC33" s="438"/>
      <c r="AD33" s="438"/>
      <c r="AE33" s="438"/>
      <c r="AF33" s="438"/>
      <c r="AG33" s="438"/>
      <c r="AH33" s="438"/>
      <c r="AI33" s="438"/>
      <c r="AJ33" s="438"/>
      <c r="AK33" s="438"/>
    </row>
    <row r="34" spans="1:37" ht="21" x14ac:dyDescent="0.3">
      <c r="A34" s="491" t="s">
        <v>135</v>
      </c>
      <c r="B34" s="491" t="s">
        <v>143</v>
      </c>
      <c r="C34" s="491" t="s">
        <v>776</v>
      </c>
      <c r="D34" s="491" t="s">
        <v>777</v>
      </c>
      <c r="E34" s="491" t="s">
        <v>157</v>
      </c>
      <c r="F34" s="491" t="s">
        <v>973</v>
      </c>
      <c r="G34" s="491" t="s">
        <v>778</v>
      </c>
      <c r="H34" s="491" t="s">
        <v>779</v>
      </c>
      <c r="I34" s="491" t="s">
        <v>974</v>
      </c>
      <c r="J34" s="491" t="s">
        <v>975</v>
      </c>
      <c r="K34" s="491" t="s">
        <v>976</v>
      </c>
      <c r="L34" s="491" t="s">
        <v>977</v>
      </c>
      <c r="M34" s="492" t="s">
        <v>824</v>
      </c>
      <c r="N34" s="493" t="s">
        <v>137</v>
      </c>
      <c r="O34" s="493" t="s">
        <v>138</v>
      </c>
      <c r="P34" s="493" t="s">
        <v>161</v>
      </c>
      <c r="Q34" s="493" t="s">
        <v>162</v>
      </c>
      <c r="R34" s="493" t="s">
        <v>163</v>
      </c>
      <c r="S34" s="493" t="s">
        <v>164</v>
      </c>
      <c r="T34" s="493" t="s">
        <v>165</v>
      </c>
      <c r="U34" s="493" t="s">
        <v>166</v>
      </c>
      <c r="X34" s="452"/>
      <c r="Y34" s="452"/>
      <c r="Z34" s="438"/>
      <c r="AB34" s="435"/>
      <c r="AC34" s="436"/>
      <c r="AE34" s="437"/>
      <c r="AI34" s="436"/>
      <c r="AK34" s="438"/>
    </row>
    <row r="35" spans="1:37" x14ac:dyDescent="0.3">
      <c r="A35" s="494">
        <f>1</f>
        <v>1</v>
      </c>
      <c r="B35" s="495"/>
      <c r="C35" s="495"/>
      <c r="D35" s="495"/>
      <c r="E35" s="495"/>
      <c r="F35" s="496">
        <f t="shared" ref="F35" si="0">(0.5*(4/3*(PI()*((C35*0.5)*(D35*0.5)*E35)))/1000)</f>
        <v>0</v>
      </c>
      <c r="G35" s="497">
        <f t="shared" ref="G35:G44" si="1">IF(B35=1,$D$11,IF(B35=2,$D$12,IF(B35=3,$D$13,IF(B35=4,$D$14,IF(B35=5,$D$15,IF(B35=6,$D$16,IF(B35=7,$D$17,IF(B35=8,$D$18,))))))))</f>
        <v>0</v>
      </c>
      <c r="H35" s="496">
        <f t="shared" ref="H35" si="2">IF(F35&gt;0,(((0.5*(4/3*(PI()*(((0.5*C35)+G35))*(((0.5*D35)+G35))*(E35+G35))))/1000-F35)), 0)</f>
        <v>0</v>
      </c>
      <c r="I35" s="498" t="str">
        <f t="shared" ref="I35:I44" si="3">IF(B35=1,$G$11,IF(B35=2,$G$12,IF(B35=3,$G$13,IF(B35=4,$G$14,IF(B35=5,$G$15,IF(B35=6,$G$16,IF(B35=7,$G$17,IF(B35=8,$G$18,""))))))))</f>
        <v/>
      </c>
      <c r="J35" s="498" t="str">
        <f t="shared" ref="J35:J44" si="4">IFERROR((H35*I35)*365, "")</f>
        <v/>
      </c>
      <c r="K35" s="499" t="str">
        <f t="shared" ref="K35:K44" si="5">IFERROR(J35*(1/$B$6), "")</f>
        <v/>
      </c>
      <c r="L35" s="499" t="str">
        <f t="shared" ref="L35:L44" si="6">IFERROR(K35/1000, "")</f>
        <v/>
      </c>
      <c r="M35" s="500"/>
      <c r="N35" s="498" t="str">
        <f t="shared" ref="N35:N44" si="7">IF(B35=1, L35,"")</f>
        <v/>
      </c>
      <c r="O35" s="498" t="str">
        <f t="shared" ref="O35:O44" si="8">IF(B35=2, L35,"")</f>
        <v/>
      </c>
      <c r="P35" s="498" t="str">
        <f t="shared" ref="P35:P44" si="9">IF(B35=3, L35,"")</f>
        <v/>
      </c>
      <c r="Q35" s="498" t="str">
        <f t="shared" ref="Q35:Q44" si="10">IF(B35=4, L35,"")</f>
        <v/>
      </c>
      <c r="R35" s="498" t="str">
        <f t="shared" ref="R35:R44" si="11">IF(B35=5, L35,"")</f>
        <v/>
      </c>
      <c r="S35" s="498" t="str">
        <f t="shared" ref="S35:S44" si="12">IF(B35=6, L35,"")</f>
        <v/>
      </c>
      <c r="T35" s="498" t="str">
        <f t="shared" ref="T35:T44" si="13">IF(B35=7, L35,"")</f>
        <v/>
      </c>
      <c r="U35" s="501" t="str">
        <f t="shared" ref="U35:U44" si="14">IF(B35=8, L35,"")</f>
        <v/>
      </c>
      <c r="X35" s="452"/>
      <c r="Y35" s="452"/>
      <c r="Z35" s="438"/>
      <c r="AB35" s="435"/>
      <c r="AC35" s="436"/>
      <c r="AE35" s="437"/>
      <c r="AI35" s="436"/>
      <c r="AK35" s="438"/>
    </row>
    <row r="36" spans="1:37" x14ac:dyDescent="0.3">
      <c r="A36" s="497">
        <f>1</f>
        <v>1</v>
      </c>
      <c r="B36" s="495"/>
      <c r="C36" s="495"/>
      <c r="D36" s="495"/>
      <c r="E36" s="495"/>
      <c r="F36" s="496">
        <f t="shared" ref="F36:F44" si="15">(0.5*(4/3*(PI()*((C36*0.5)*(D36*0.5)*E36)))/1000)</f>
        <v>0</v>
      </c>
      <c r="G36" s="497">
        <f t="shared" si="1"/>
        <v>0</v>
      </c>
      <c r="H36" s="496">
        <f t="shared" ref="H36:H44" si="16">IF(F36&gt;0,(((0.5*(4/3*(PI()*(((0.5*C36)+G36))*(((0.5*D36)+G36))*(E36+G36))))/1000-F36)), 0)</f>
        <v>0</v>
      </c>
      <c r="I36" s="498" t="str">
        <f t="shared" si="3"/>
        <v/>
      </c>
      <c r="J36" s="498" t="str">
        <f t="shared" si="4"/>
        <v/>
      </c>
      <c r="K36" s="499" t="str">
        <f t="shared" si="5"/>
        <v/>
      </c>
      <c r="L36" s="499" t="str">
        <f t="shared" si="6"/>
        <v/>
      </c>
      <c r="M36" s="500"/>
      <c r="N36" s="498" t="str">
        <f t="shared" si="7"/>
        <v/>
      </c>
      <c r="O36" s="498" t="str">
        <f t="shared" si="8"/>
        <v/>
      </c>
      <c r="P36" s="498" t="str">
        <f t="shared" si="9"/>
        <v/>
      </c>
      <c r="Q36" s="498" t="str">
        <f t="shared" si="10"/>
        <v/>
      </c>
      <c r="R36" s="498" t="str">
        <f t="shared" si="11"/>
        <v/>
      </c>
      <c r="S36" s="498" t="str">
        <f t="shared" si="12"/>
        <v/>
      </c>
      <c r="T36" s="498" t="str">
        <f t="shared" si="13"/>
        <v/>
      </c>
      <c r="U36" s="501" t="str">
        <f t="shared" si="14"/>
        <v/>
      </c>
    </row>
    <row r="37" spans="1:37" x14ac:dyDescent="0.3">
      <c r="A37" s="497">
        <f>1</f>
        <v>1</v>
      </c>
      <c r="B37" s="495"/>
      <c r="C37" s="495"/>
      <c r="D37" s="495"/>
      <c r="E37" s="495"/>
      <c r="F37" s="496">
        <f t="shared" si="15"/>
        <v>0</v>
      </c>
      <c r="G37" s="497">
        <f t="shared" si="1"/>
        <v>0</v>
      </c>
      <c r="H37" s="496">
        <f t="shared" si="16"/>
        <v>0</v>
      </c>
      <c r="I37" s="498" t="str">
        <f t="shared" si="3"/>
        <v/>
      </c>
      <c r="J37" s="498" t="str">
        <f t="shared" si="4"/>
        <v/>
      </c>
      <c r="K37" s="499" t="str">
        <f t="shared" si="5"/>
        <v/>
      </c>
      <c r="L37" s="499" t="str">
        <f t="shared" si="6"/>
        <v/>
      </c>
      <c r="M37" s="500"/>
      <c r="N37" s="498" t="str">
        <f t="shared" si="7"/>
        <v/>
      </c>
      <c r="O37" s="498" t="str">
        <f t="shared" si="8"/>
        <v/>
      </c>
      <c r="P37" s="498" t="str">
        <f t="shared" si="9"/>
        <v/>
      </c>
      <c r="Q37" s="498" t="str">
        <f t="shared" si="10"/>
        <v/>
      </c>
      <c r="R37" s="498" t="str">
        <f t="shared" si="11"/>
        <v/>
      </c>
      <c r="S37" s="498" t="str">
        <f t="shared" si="12"/>
        <v/>
      </c>
      <c r="T37" s="498" t="str">
        <f t="shared" si="13"/>
        <v/>
      </c>
      <c r="U37" s="501" t="str">
        <f t="shared" si="14"/>
        <v/>
      </c>
    </row>
    <row r="38" spans="1:37" x14ac:dyDescent="0.3">
      <c r="A38" s="497">
        <f>1</f>
        <v>1</v>
      </c>
      <c r="B38" s="495"/>
      <c r="C38" s="495"/>
      <c r="D38" s="495"/>
      <c r="E38" s="495"/>
      <c r="F38" s="496">
        <f t="shared" si="15"/>
        <v>0</v>
      </c>
      <c r="G38" s="497">
        <f t="shared" si="1"/>
        <v>0</v>
      </c>
      <c r="H38" s="496">
        <f t="shared" si="16"/>
        <v>0</v>
      </c>
      <c r="I38" s="498" t="str">
        <f t="shared" si="3"/>
        <v/>
      </c>
      <c r="J38" s="498" t="str">
        <f t="shared" si="4"/>
        <v/>
      </c>
      <c r="K38" s="499" t="str">
        <f t="shared" si="5"/>
        <v/>
      </c>
      <c r="L38" s="499" t="str">
        <f t="shared" si="6"/>
        <v/>
      </c>
      <c r="M38" s="500"/>
      <c r="N38" s="498" t="str">
        <f t="shared" si="7"/>
        <v/>
      </c>
      <c r="O38" s="498" t="str">
        <f t="shared" si="8"/>
        <v/>
      </c>
      <c r="P38" s="498" t="str">
        <f t="shared" si="9"/>
        <v/>
      </c>
      <c r="Q38" s="498" t="str">
        <f t="shared" si="10"/>
        <v/>
      </c>
      <c r="R38" s="498" t="str">
        <f t="shared" si="11"/>
        <v/>
      </c>
      <c r="S38" s="498" t="str">
        <f t="shared" si="12"/>
        <v/>
      </c>
      <c r="T38" s="498" t="str">
        <f t="shared" si="13"/>
        <v/>
      </c>
      <c r="U38" s="501" t="str">
        <f t="shared" si="14"/>
        <v/>
      </c>
    </row>
    <row r="39" spans="1:37" x14ac:dyDescent="0.3">
      <c r="A39" s="497">
        <f>1</f>
        <v>1</v>
      </c>
      <c r="B39" s="495"/>
      <c r="C39" s="495"/>
      <c r="D39" s="495"/>
      <c r="E39" s="495"/>
      <c r="F39" s="496">
        <f t="shared" si="15"/>
        <v>0</v>
      </c>
      <c r="G39" s="497">
        <f t="shared" si="1"/>
        <v>0</v>
      </c>
      <c r="H39" s="496">
        <f t="shared" si="16"/>
        <v>0</v>
      </c>
      <c r="I39" s="498" t="str">
        <f t="shared" si="3"/>
        <v/>
      </c>
      <c r="J39" s="498" t="str">
        <f t="shared" si="4"/>
        <v/>
      </c>
      <c r="K39" s="499" t="str">
        <f t="shared" si="5"/>
        <v/>
      </c>
      <c r="L39" s="499" t="str">
        <f t="shared" si="6"/>
        <v/>
      </c>
      <c r="M39" s="500"/>
      <c r="N39" s="498" t="str">
        <f t="shared" si="7"/>
        <v/>
      </c>
      <c r="O39" s="498" t="str">
        <f t="shared" si="8"/>
        <v/>
      </c>
      <c r="P39" s="498" t="str">
        <f t="shared" si="9"/>
        <v/>
      </c>
      <c r="Q39" s="498" t="str">
        <f t="shared" si="10"/>
        <v/>
      </c>
      <c r="R39" s="498" t="str">
        <f t="shared" si="11"/>
        <v/>
      </c>
      <c r="S39" s="498" t="str">
        <f t="shared" si="12"/>
        <v/>
      </c>
      <c r="T39" s="498" t="str">
        <f t="shared" si="13"/>
        <v/>
      </c>
      <c r="U39" s="501" t="str">
        <f t="shared" si="14"/>
        <v/>
      </c>
    </row>
    <row r="40" spans="1:37" x14ac:dyDescent="0.3">
      <c r="A40" s="497">
        <f>1</f>
        <v>1</v>
      </c>
      <c r="B40" s="495"/>
      <c r="C40" s="495"/>
      <c r="D40" s="495"/>
      <c r="E40" s="495"/>
      <c r="F40" s="496">
        <f t="shared" si="15"/>
        <v>0</v>
      </c>
      <c r="G40" s="497">
        <f t="shared" si="1"/>
        <v>0</v>
      </c>
      <c r="H40" s="496">
        <f t="shared" si="16"/>
        <v>0</v>
      </c>
      <c r="I40" s="498" t="str">
        <f t="shared" si="3"/>
        <v/>
      </c>
      <c r="J40" s="498" t="str">
        <f t="shared" si="4"/>
        <v/>
      </c>
      <c r="K40" s="499" t="str">
        <f t="shared" si="5"/>
        <v/>
      </c>
      <c r="L40" s="499" t="str">
        <f t="shared" si="6"/>
        <v/>
      </c>
      <c r="M40" s="500"/>
      <c r="N40" s="498" t="str">
        <f t="shared" si="7"/>
        <v/>
      </c>
      <c r="O40" s="498" t="str">
        <f t="shared" si="8"/>
        <v/>
      </c>
      <c r="P40" s="498" t="str">
        <f t="shared" si="9"/>
        <v/>
      </c>
      <c r="Q40" s="498" t="str">
        <f t="shared" si="10"/>
        <v/>
      </c>
      <c r="R40" s="498" t="str">
        <f t="shared" si="11"/>
        <v/>
      </c>
      <c r="S40" s="498" t="str">
        <f t="shared" si="12"/>
        <v/>
      </c>
      <c r="T40" s="498" t="str">
        <f t="shared" si="13"/>
        <v/>
      </c>
      <c r="U40" s="501" t="str">
        <f t="shared" si="14"/>
        <v/>
      </c>
    </row>
    <row r="41" spans="1:37" x14ac:dyDescent="0.3">
      <c r="A41" s="497">
        <f>1</f>
        <v>1</v>
      </c>
      <c r="B41" s="495"/>
      <c r="C41" s="495"/>
      <c r="D41" s="495"/>
      <c r="E41" s="495"/>
      <c r="F41" s="496">
        <f t="shared" si="15"/>
        <v>0</v>
      </c>
      <c r="G41" s="497">
        <f t="shared" si="1"/>
        <v>0</v>
      </c>
      <c r="H41" s="496">
        <f t="shared" si="16"/>
        <v>0</v>
      </c>
      <c r="I41" s="498" t="str">
        <f t="shared" si="3"/>
        <v/>
      </c>
      <c r="J41" s="498" t="str">
        <f t="shared" si="4"/>
        <v/>
      </c>
      <c r="K41" s="499" t="str">
        <f t="shared" si="5"/>
        <v/>
      </c>
      <c r="L41" s="499" t="str">
        <f t="shared" si="6"/>
        <v/>
      </c>
      <c r="M41" s="500"/>
      <c r="N41" s="498" t="str">
        <f t="shared" si="7"/>
        <v/>
      </c>
      <c r="O41" s="498" t="str">
        <f t="shared" si="8"/>
        <v/>
      </c>
      <c r="P41" s="498" t="str">
        <f t="shared" si="9"/>
        <v/>
      </c>
      <c r="Q41" s="498" t="str">
        <f t="shared" si="10"/>
        <v/>
      </c>
      <c r="R41" s="498" t="str">
        <f t="shared" si="11"/>
        <v/>
      </c>
      <c r="S41" s="498" t="str">
        <f t="shared" si="12"/>
        <v/>
      </c>
      <c r="T41" s="498" t="str">
        <f t="shared" si="13"/>
        <v/>
      </c>
      <c r="U41" s="501" t="str">
        <f t="shared" si="14"/>
        <v/>
      </c>
    </row>
    <row r="42" spans="1:37" x14ac:dyDescent="0.3">
      <c r="A42" s="497">
        <f>1</f>
        <v>1</v>
      </c>
      <c r="B42" s="495"/>
      <c r="C42" s="495"/>
      <c r="D42" s="495"/>
      <c r="E42" s="495"/>
      <c r="F42" s="496">
        <f t="shared" si="15"/>
        <v>0</v>
      </c>
      <c r="G42" s="497">
        <f t="shared" si="1"/>
        <v>0</v>
      </c>
      <c r="H42" s="496">
        <f t="shared" si="16"/>
        <v>0</v>
      </c>
      <c r="I42" s="498" t="str">
        <f t="shared" si="3"/>
        <v/>
      </c>
      <c r="J42" s="498" t="str">
        <f t="shared" si="4"/>
        <v/>
      </c>
      <c r="K42" s="499" t="str">
        <f t="shared" si="5"/>
        <v/>
      </c>
      <c r="L42" s="499" t="str">
        <f t="shared" si="6"/>
        <v/>
      </c>
      <c r="M42" s="500"/>
      <c r="N42" s="498" t="str">
        <f t="shared" si="7"/>
        <v/>
      </c>
      <c r="O42" s="498" t="str">
        <f t="shared" si="8"/>
        <v/>
      </c>
      <c r="P42" s="498" t="str">
        <f t="shared" si="9"/>
        <v/>
      </c>
      <c r="Q42" s="498" t="str">
        <f t="shared" si="10"/>
        <v/>
      </c>
      <c r="R42" s="498" t="str">
        <f t="shared" si="11"/>
        <v/>
      </c>
      <c r="S42" s="498" t="str">
        <f t="shared" si="12"/>
        <v/>
      </c>
      <c r="T42" s="498" t="str">
        <f t="shared" si="13"/>
        <v/>
      </c>
      <c r="U42" s="501" t="str">
        <f t="shared" si="14"/>
        <v/>
      </c>
    </row>
    <row r="43" spans="1:37" x14ac:dyDescent="0.3">
      <c r="A43" s="497">
        <f>1</f>
        <v>1</v>
      </c>
      <c r="B43" s="495"/>
      <c r="C43" s="495"/>
      <c r="D43" s="495"/>
      <c r="E43" s="495"/>
      <c r="F43" s="496">
        <f t="shared" si="15"/>
        <v>0</v>
      </c>
      <c r="G43" s="497">
        <f t="shared" si="1"/>
        <v>0</v>
      </c>
      <c r="H43" s="496">
        <f t="shared" si="16"/>
        <v>0</v>
      </c>
      <c r="I43" s="498" t="str">
        <f t="shared" si="3"/>
        <v/>
      </c>
      <c r="J43" s="498" t="str">
        <f t="shared" si="4"/>
        <v/>
      </c>
      <c r="K43" s="499" t="str">
        <f t="shared" si="5"/>
        <v/>
      </c>
      <c r="L43" s="499" t="str">
        <f t="shared" si="6"/>
        <v/>
      </c>
      <c r="M43" s="500"/>
      <c r="N43" s="498" t="str">
        <f t="shared" si="7"/>
        <v/>
      </c>
      <c r="O43" s="498" t="str">
        <f t="shared" si="8"/>
        <v/>
      </c>
      <c r="P43" s="498" t="str">
        <f t="shared" si="9"/>
        <v/>
      </c>
      <c r="Q43" s="498" t="str">
        <f t="shared" si="10"/>
        <v/>
      </c>
      <c r="R43" s="498" t="str">
        <f t="shared" si="11"/>
        <v/>
      </c>
      <c r="S43" s="498" t="str">
        <f t="shared" si="12"/>
        <v/>
      </c>
      <c r="T43" s="498" t="str">
        <f t="shared" si="13"/>
        <v/>
      </c>
      <c r="U43" s="501" t="str">
        <f t="shared" si="14"/>
        <v/>
      </c>
    </row>
    <row r="44" spans="1:37" x14ac:dyDescent="0.3">
      <c r="A44" s="497">
        <f>1</f>
        <v>1</v>
      </c>
      <c r="B44" s="495"/>
      <c r="C44" s="495"/>
      <c r="D44" s="495"/>
      <c r="E44" s="495"/>
      <c r="F44" s="496">
        <f t="shared" si="15"/>
        <v>0</v>
      </c>
      <c r="G44" s="497">
        <f t="shared" si="1"/>
        <v>0</v>
      </c>
      <c r="H44" s="496">
        <f t="shared" si="16"/>
        <v>0</v>
      </c>
      <c r="I44" s="498" t="str">
        <f t="shared" si="3"/>
        <v/>
      </c>
      <c r="J44" s="498" t="str">
        <f t="shared" si="4"/>
        <v/>
      </c>
      <c r="K44" s="499" t="str">
        <f t="shared" si="5"/>
        <v/>
      </c>
      <c r="L44" s="499" t="str">
        <f t="shared" si="6"/>
        <v/>
      </c>
      <c r="M44" s="500"/>
      <c r="N44" s="498" t="str">
        <f t="shared" si="7"/>
        <v/>
      </c>
      <c r="O44" s="498" t="str">
        <f t="shared" si="8"/>
        <v/>
      </c>
      <c r="P44" s="498" t="str">
        <f t="shared" si="9"/>
        <v/>
      </c>
      <c r="Q44" s="498" t="str">
        <f t="shared" si="10"/>
        <v/>
      </c>
      <c r="R44" s="498" t="str">
        <f t="shared" si="11"/>
        <v/>
      </c>
      <c r="S44" s="498" t="str">
        <f t="shared" si="12"/>
        <v/>
      </c>
      <c r="T44" s="498" t="str">
        <f t="shared" si="13"/>
        <v/>
      </c>
      <c r="U44" s="501" t="str">
        <f t="shared" si="14"/>
        <v/>
      </c>
    </row>
    <row r="45" spans="1:37" x14ac:dyDescent="0.3">
      <c r="B45" s="431" t="s">
        <v>139</v>
      </c>
      <c r="C45" s="253">
        <f>COUNT(B35:B44)</f>
        <v>0</v>
      </c>
      <c r="D45" s="445"/>
      <c r="E45" s="445"/>
      <c r="J45" s="502" t="s">
        <v>104</v>
      </c>
      <c r="K45" s="254" t="str">
        <f>IF($A35&lt;=$B$5,SUM(K35:K44),"")</f>
        <v/>
      </c>
      <c r="L45" s="254" t="str">
        <f>IF($A35&lt;=$B$5,SUM(L35:L44),"")</f>
        <v/>
      </c>
      <c r="M45" s="452"/>
      <c r="N45" s="254">
        <f t="shared" ref="N45:U45" si="17">SUM(N35:N44)</f>
        <v>0</v>
      </c>
      <c r="O45" s="256">
        <f t="shared" si="17"/>
        <v>0</v>
      </c>
      <c r="P45" s="256">
        <f t="shared" si="17"/>
        <v>0</v>
      </c>
      <c r="Q45" s="256">
        <f t="shared" si="17"/>
        <v>0</v>
      </c>
      <c r="R45" s="256">
        <f t="shared" si="17"/>
        <v>0</v>
      </c>
      <c r="S45" s="256">
        <f t="shared" si="17"/>
        <v>0</v>
      </c>
      <c r="T45" s="256">
        <f t="shared" si="17"/>
        <v>0</v>
      </c>
      <c r="U45" s="256">
        <f t="shared" si="17"/>
        <v>0</v>
      </c>
    </row>
    <row r="46" spans="1:37" x14ac:dyDescent="0.3">
      <c r="B46" s="431"/>
      <c r="C46" s="445"/>
      <c r="D46" s="445"/>
      <c r="E46" s="445"/>
      <c r="M46" s="452"/>
      <c r="N46" s="452"/>
      <c r="O46" s="452"/>
      <c r="P46" s="452"/>
      <c r="Q46" s="452"/>
      <c r="R46" s="452"/>
      <c r="S46" s="452"/>
      <c r="T46" s="452"/>
      <c r="U46" s="452"/>
    </row>
    <row r="47" spans="1:37" x14ac:dyDescent="0.3">
      <c r="B47" s="431"/>
      <c r="C47" s="445"/>
      <c r="D47" s="445"/>
      <c r="E47" s="445"/>
      <c r="M47" s="452"/>
      <c r="N47" s="452"/>
      <c r="O47" s="452"/>
      <c r="P47" s="452"/>
      <c r="Q47" s="452"/>
      <c r="R47" s="452"/>
      <c r="S47" s="452"/>
      <c r="T47" s="452"/>
      <c r="U47" s="452"/>
    </row>
    <row r="48" spans="1:37" x14ac:dyDescent="0.3">
      <c r="B48" s="431"/>
      <c r="C48" s="445"/>
      <c r="D48" s="445"/>
      <c r="E48" s="445"/>
      <c r="M48" s="452"/>
      <c r="N48" s="452"/>
      <c r="O48" s="452"/>
      <c r="P48" s="452"/>
      <c r="Q48" s="452"/>
      <c r="R48" s="452"/>
      <c r="S48" s="452"/>
      <c r="T48" s="452"/>
      <c r="U48" s="452"/>
    </row>
    <row r="49" spans="1:21" x14ac:dyDescent="0.3">
      <c r="B49" s="431"/>
      <c r="C49" s="445"/>
      <c r="D49" s="445"/>
      <c r="E49" s="445"/>
      <c r="M49" s="452"/>
      <c r="N49" s="452"/>
      <c r="O49" s="452"/>
      <c r="P49" s="452"/>
      <c r="Q49" s="452"/>
      <c r="R49" s="452"/>
      <c r="S49" s="452"/>
      <c r="T49" s="452"/>
      <c r="U49" s="452"/>
    </row>
    <row r="50" spans="1:21" x14ac:dyDescent="0.3">
      <c r="A50" s="438" t="s">
        <v>783</v>
      </c>
      <c r="C50" s="483"/>
      <c r="D50" s="484" t="s">
        <v>793</v>
      </c>
      <c r="E50" s="485"/>
      <c r="J50" s="483"/>
      <c r="K50" s="484" t="s">
        <v>803</v>
      </c>
      <c r="L50" s="485"/>
      <c r="M50" s="486"/>
      <c r="N50" s="487"/>
      <c r="O50" s="488"/>
      <c r="P50" s="488"/>
      <c r="Q50" s="488"/>
      <c r="R50" s="489" t="s">
        <v>136</v>
      </c>
      <c r="S50" s="488"/>
      <c r="T50" s="488"/>
      <c r="U50" s="490"/>
    </row>
    <row r="51" spans="1:21" ht="21" x14ac:dyDescent="0.3">
      <c r="A51" s="491" t="s">
        <v>135</v>
      </c>
      <c r="B51" s="491" t="s">
        <v>143</v>
      </c>
      <c r="C51" s="491" t="s">
        <v>776</v>
      </c>
      <c r="D51" s="491" t="s">
        <v>777</v>
      </c>
      <c r="E51" s="491" t="s">
        <v>157</v>
      </c>
      <c r="F51" s="491" t="s">
        <v>973</v>
      </c>
      <c r="G51" s="491" t="s">
        <v>778</v>
      </c>
      <c r="H51" s="491" t="s">
        <v>779</v>
      </c>
      <c r="I51" s="491" t="s">
        <v>974</v>
      </c>
      <c r="J51" s="491" t="s">
        <v>975</v>
      </c>
      <c r="K51" s="491" t="s">
        <v>976</v>
      </c>
      <c r="L51" s="491" t="s">
        <v>977</v>
      </c>
      <c r="M51" s="492" t="s">
        <v>823</v>
      </c>
      <c r="N51" s="491" t="s">
        <v>137</v>
      </c>
      <c r="O51" s="491" t="s">
        <v>138</v>
      </c>
      <c r="P51" s="491" t="s">
        <v>161</v>
      </c>
      <c r="Q51" s="491" t="s">
        <v>162</v>
      </c>
      <c r="R51" s="491" t="s">
        <v>163</v>
      </c>
      <c r="S51" s="491" t="s">
        <v>164</v>
      </c>
      <c r="T51" s="491" t="s">
        <v>165</v>
      </c>
      <c r="U51" s="491" t="s">
        <v>166</v>
      </c>
    </row>
    <row r="52" spans="1:21" x14ac:dyDescent="0.3">
      <c r="A52" s="505">
        <f>2</f>
        <v>2</v>
      </c>
      <c r="B52" s="495"/>
      <c r="C52" s="495"/>
      <c r="D52" s="495"/>
      <c r="E52" s="495"/>
      <c r="F52" s="496">
        <f t="shared" ref="F52" si="18">(0.5*(4/3*(PI()*((C52*0.5)*(D52*0.5)*E52)))/1000)</f>
        <v>0</v>
      </c>
      <c r="G52" s="497">
        <f t="shared" ref="G52:G61" si="19">IF(B52=1,$D$11,IF(B52=2,$D$12,IF(B52=3,$D$13,IF(B52=4,$D$14,IF(B52=5,$D$15,IF(B52=6,$D$16,IF(B52=7,$D$17,IF(B52=8,$D$18,))))))))</f>
        <v>0</v>
      </c>
      <c r="H52" s="496">
        <f t="shared" ref="H52" si="20">IF(F52&gt;0,(((0.5*(4/3*(PI()*(((0.5*C52)+G52))*(((0.5*D52)+G52))*(E52+G52))))/1000-F52)), 0)</f>
        <v>0</v>
      </c>
      <c r="I52" s="498" t="str">
        <f t="shared" ref="I52:I61" si="21">IF(B52=1,$G$11,IF(B52=2,$G$12,IF(B52=3,$G$13,IF(B52=4,$G$14,IF(B52=5,$G$15,IF(B52=6,$G$16,IF(B52=7,$G$17,IF(B52=8,$G$18,""))))))))</f>
        <v/>
      </c>
      <c r="J52" s="498" t="str">
        <f t="shared" ref="J52:J61" si="22">IFERROR((H52*I52)*365, "")</f>
        <v/>
      </c>
      <c r="K52" s="499" t="str">
        <f t="shared" ref="K52:K61" si="23">IFERROR(J52*(1/$B$6), "")</f>
        <v/>
      </c>
      <c r="L52" s="499" t="str">
        <f t="shared" ref="L52:L61" si="24">IFERROR(K52/1000, "")</f>
        <v/>
      </c>
      <c r="M52" s="500"/>
      <c r="N52" s="498" t="str">
        <f t="shared" ref="N52:N61" si="25">IF(B52=1, L52,"")</f>
        <v/>
      </c>
      <c r="O52" s="498" t="str">
        <f t="shared" ref="O52:O61" si="26">IF(B52=2, L52,"")</f>
        <v/>
      </c>
      <c r="P52" s="498" t="str">
        <f t="shared" ref="P52:P61" si="27">IF(B52=3, L52,"")</f>
        <v/>
      </c>
      <c r="Q52" s="498" t="str">
        <f t="shared" ref="Q52:Q61" si="28">IF(B52=4, L52,"")</f>
        <v/>
      </c>
      <c r="R52" s="498" t="str">
        <f t="shared" ref="R52:R61" si="29">IF(B52=5, L52,"")</f>
        <v/>
      </c>
      <c r="S52" s="498" t="str">
        <f t="shared" ref="S52:S61" si="30">IF(B52=6, L52,"")</f>
        <v/>
      </c>
      <c r="T52" s="498" t="str">
        <f t="shared" ref="T52:T61" si="31">IF(B52=7, L52,"")</f>
        <v/>
      </c>
      <c r="U52" s="501" t="str">
        <f t="shared" ref="U52:U61" si="32">IF(B52=8, L52,"")</f>
        <v/>
      </c>
    </row>
    <row r="53" spans="1:21" x14ac:dyDescent="0.3">
      <c r="A53" s="505">
        <f>2</f>
        <v>2</v>
      </c>
      <c r="B53" s="495"/>
      <c r="C53" s="495"/>
      <c r="D53" s="495"/>
      <c r="E53" s="495"/>
      <c r="F53" s="496">
        <f t="shared" ref="F53:F61" si="33">(0.5*(4/3*(PI()*((C53*0.5)*(D53*0.5)*E53)))/1000)</f>
        <v>0</v>
      </c>
      <c r="G53" s="497">
        <f t="shared" si="19"/>
        <v>0</v>
      </c>
      <c r="H53" s="496">
        <f t="shared" ref="H53:H61" si="34">IF(F53&gt;0,(((0.5*(4/3*(PI()*(((0.5*C53)+G53))*(((0.5*D53)+G53))*(E53+G53))))/1000-F53)), 0)</f>
        <v>0</v>
      </c>
      <c r="I53" s="498" t="str">
        <f t="shared" si="21"/>
        <v/>
      </c>
      <c r="J53" s="498" t="str">
        <f t="shared" si="22"/>
        <v/>
      </c>
      <c r="K53" s="499" t="str">
        <f t="shared" si="23"/>
        <v/>
      </c>
      <c r="L53" s="499" t="str">
        <f t="shared" si="24"/>
        <v/>
      </c>
      <c r="M53" s="552"/>
      <c r="N53" s="553" t="str">
        <f t="shared" si="25"/>
        <v/>
      </c>
      <c r="O53" s="553" t="str">
        <f t="shared" si="26"/>
        <v/>
      </c>
      <c r="P53" s="553" t="str">
        <f t="shared" si="27"/>
        <v/>
      </c>
      <c r="Q53" s="553" t="str">
        <f t="shared" si="28"/>
        <v/>
      </c>
      <c r="R53" s="553" t="str">
        <f t="shared" si="29"/>
        <v/>
      </c>
      <c r="S53" s="553" t="str">
        <f t="shared" si="30"/>
        <v/>
      </c>
      <c r="T53" s="553" t="str">
        <f t="shared" si="31"/>
        <v/>
      </c>
      <c r="U53" s="554" t="str">
        <f t="shared" si="32"/>
        <v/>
      </c>
    </row>
    <row r="54" spans="1:21" x14ac:dyDescent="0.3">
      <c r="A54" s="505">
        <f>2</f>
        <v>2</v>
      </c>
      <c r="B54" s="495"/>
      <c r="C54" s="495"/>
      <c r="D54" s="495"/>
      <c r="E54" s="495"/>
      <c r="F54" s="496">
        <f t="shared" si="33"/>
        <v>0</v>
      </c>
      <c r="G54" s="497">
        <f t="shared" si="19"/>
        <v>0</v>
      </c>
      <c r="H54" s="496">
        <f t="shared" si="34"/>
        <v>0</v>
      </c>
      <c r="I54" s="498" t="str">
        <f t="shared" si="21"/>
        <v/>
      </c>
      <c r="J54" s="498" t="str">
        <f t="shared" si="22"/>
        <v/>
      </c>
      <c r="K54" s="499" t="str">
        <f t="shared" si="23"/>
        <v/>
      </c>
      <c r="L54" s="499" t="str">
        <f t="shared" si="24"/>
        <v/>
      </c>
      <c r="M54" s="552"/>
      <c r="N54" s="553" t="str">
        <f t="shared" si="25"/>
        <v/>
      </c>
      <c r="O54" s="553" t="str">
        <f t="shared" si="26"/>
        <v/>
      </c>
      <c r="P54" s="553" t="str">
        <f t="shared" si="27"/>
        <v/>
      </c>
      <c r="Q54" s="553" t="str">
        <f t="shared" si="28"/>
        <v/>
      </c>
      <c r="R54" s="553" t="str">
        <f t="shared" si="29"/>
        <v/>
      </c>
      <c r="S54" s="553" t="str">
        <f t="shared" si="30"/>
        <v/>
      </c>
      <c r="T54" s="553" t="str">
        <f t="shared" si="31"/>
        <v/>
      </c>
      <c r="U54" s="554" t="str">
        <f t="shared" si="32"/>
        <v/>
      </c>
    </row>
    <row r="55" spans="1:21" x14ac:dyDescent="0.3">
      <c r="A55" s="505">
        <f>2</f>
        <v>2</v>
      </c>
      <c r="B55" s="495"/>
      <c r="C55" s="495"/>
      <c r="D55" s="495"/>
      <c r="E55" s="495"/>
      <c r="F55" s="496">
        <f t="shared" si="33"/>
        <v>0</v>
      </c>
      <c r="G55" s="497">
        <f t="shared" si="19"/>
        <v>0</v>
      </c>
      <c r="H55" s="496">
        <f t="shared" si="34"/>
        <v>0</v>
      </c>
      <c r="I55" s="498" t="str">
        <f t="shared" si="21"/>
        <v/>
      </c>
      <c r="J55" s="498" t="str">
        <f t="shared" si="22"/>
        <v/>
      </c>
      <c r="K55" s="499" t="str">
        <f t="shared" si="23"/>
        <v/>
      </c>
      <c r="L55" s="499" t="str">
        <f t="shared" si="24"/>
        <v/>
      </c>
      <c r="M55" s="552"/>
      <c r="N55" s="553" t="str">
        <f t="shared" si="25"/>
        <v/>
      </c>
      <c r="O55" s="553" t="str">
        <f t="shared" si="26"/>
        <v/>
      </c>
      <c r="P55" s="553" t="str">
        <f t="shared" si="27"/>
        <v/>
      </c>
      <c r="Q55" s="553" t="str">
        <f t="shared" si="28"/>
        <v/>
      </c>
      <c r="R55" s="553" t="str">
        <f t="shared" si="29"/>
        <v/>
      </c>
      <c r="S55" s="553" t="str">
        <f t="shared" si="30"/>
        <v/>
      </c>
      <c r="T55" s="553" t="str">
        <f t="shared" si="31"/>
        <v/>
      </c>
      <c r="U55" s="554" t="str">
        <f t="shared" si="32"/>
        <v/>
      </c>
    </row>
    <row r="56" spans="1:21" x14ac:dyDescent="0.3">
      <c r="A56" s="505">
        <f>2</f>
        <v>2</v>
      </c>
      <c r="B56" s="495"/>
      <c r="C56" s="495"/>
      <c r="D56" s="495"/>
      <c r="E56" s="495"/>
      <c r="F56" s="496">
        <f t="shared" si="33"/>
        <v>0</v>
      </c>
      <c r="G56" s="497">
        <f t="shared" si="19"/>
        <v>0</v>
      </c>
      <c r="H56" s="496">
        <f t="shared" si="34"/>
        <v>0</v>
      </c>
      <c r="I56" s="498" t="str">
        <f t="shared" si="21"/>
        <v/>
      </c>
      <c r="J56" s="498" t="str">
        <f t="shared" si="22"/>
        <v/>
      </c>
      <c r="K56" s="499" t="str">
        <f t="shared" si="23"/>
        <v/>
      </c>
      <c r="L56" s="499" t="str">
        <f t="shared" si="24"/>
        <v/>
      </c>
      <c r="M56" s="552"/>
      <c r="N56" s="553" t="str">
        <f t="shared" si="25"/>
        <v/>
      </c>
      <c r="O56" s="553" t="str">
        <f t="shared" si="26"/>
        <v/>
      </c>
      <c r="P56" s="553" t="str">
        <f t="shared" si="27"/>
        <v/>
      </c>
      <c r="Q56" s="553" t="str">
        <f t="shared" si="28"/>
        <v/>
      </c>
      <c r="R56" s="553" t="str">
        <f t="shared" si="29"/>
        <v/>
      </c>
      <c r="S56" s="553" t="str">
        <f t="shared" si="30"/>
        <v/>
      </c>
      <c r="T56" s="553" t="str">
        <f t="shared" si="31"/>
        <v/>
      </c>
      <c r="U56" s="554" t="str">
        <f t="shared" si="32"/>
        <v/>
      </c>
    </row>
    <row r="57" spans="1:21" x14ac:dyDescent="0.3">
      <c r="A57" s="505">
        <f>2</f>
        <v>2</v>
      </c>
      <c r="B57" s="495"/>
      <c r="C57" s="495"/>
      <c r="D57" s="495"/>
      <c r="E57" s="495"/>
      <c r="F57" s="496">
        <f t="shared" si="33"/>
        <v>0</v>
      </c>
      <c r="G57" s="497">
        <f t="shared" si="19"/>
        <v>0</v>
      </c>
      <c r="H57" s="496">
        <f t="shared" si="34"/>
        <v>0</v>
      </c>
      <c r="I57" s="498" t="str">
        <f t="shared" si="21"/>
        <v/>
      </c>
      <c r="J57" s="498" t="str">
        <f t="shared" si="22"/>
        <v/>
      </c>
      <c r="K57" s="499" t="str">
        <f t="shared" si="23"/>
        <v/>
      </c>
      <c r="L57" s="499" t="str">
        <f t="shared" si="24"/>
        <v/>
      </c>
      <c r="M57" s="552"/>
      <c r="N57" s="553" t="str">
        <f t="shared" si="25"/>
        <v/>
      </c>
      <c r="O57" s="553" t="str">
        <f t="shared" si="26"/>
        <v/>
      </c>
      <c r="P57" s="553" t="str">
        <f t="shared" si="27"/>
        <v/>
      </c>
      <c r="Q57" s="553" t="str">
        <f t="shared" si="28"/>
        <v/>
      </c>
      <c r="R57" s="553" t="str">
        <f t="shared" si="29"/>
        <v/>
      </c>
      <c r="S57" s="553" t="str">
        <f t="shared" si="30"/>
        <v/>
      </c>
      <c r="T57" s="553" t="str">
        <f t="shared" si="31"/>
        <v/>
      </c>
      <c r="U57" s="554" t="str">
        <f t="shared" si="32"/>
        <v/>
      </c>
    </row>
    <row r="58" spans="1:21" x14ac:dyDescent="0.3">
      <c r="A58" s="505">
        <f>2</f>
        <v>2</v>
      </c>
      <c r="B58" s="495"/>
      <c r="C58" s="495"/>
      <c r="D58" s="495"/>
      <c r="E58" s="495"/>
      <c r="F58" s="496">
        <f t="shared" si="33"/>
        <v>0</v>
      </c>
      <c r="G58" s="497">
        <f t="shared" si="19"/>
        <v>0</v>
      </c>
      <c r="H58" s="496">
        <f t="shared" si="34"/>
        <v>0</v>
      </c>
      <c r="I58" s="498" t="str">
        <f t="shared" si="21"/>
        <v/>
      </c>
      <c r="J58" s="498" t="str">
        <f t="shared" si="22"/>
        <v/>
      </c>
      <c r="K58" s="499" t="str">
        <f t="shared" si="23"/>
        <v/>
      </c>
      <c r="L58" s="499" t="str">
        <f t="shared" si="24"/>
        <v/>
      </c>
      <c r="M58" s="552"/>
      <c r="N58" s="553" t="str">
        <f t="shared" si="25"/>
        <v/>
      </c>
      <c r="O58" s="553" t="str">
        <f t="shared" si="26"/>
        <v/>
      </c>
      <c r="P58" s="553" t="str">
        <f t="shared" si="27"/>
        <v/>
      </c>
      <c r="Q58" s="553" t="str">
        <f t="shared" si="28"/>
        <v/>
      </c>
      <c r="R58" s="553" t="str">
        <f t="shared" si="29"/>
        <v/>
      </c>
      <c r="S58" s="553" t="str">
        <f t="shared" si="30"/>
        <v/>
      </c>
      <c r="T58" s="553" t="str">
        <f t="shared" si="31"/>
        <v/>
      </c>
      <c r="U58" s="554" t="str">
        <f t="shared" si="32"/>
        <v/>
      </c>
    </row>
    <row r="59" spans="1:21" x14ac:dyDescent="0.3">
      <c r="A59" s="505">
        <f>2</f>
        <v>2</v>
      </c>
      <c r="B59" s="495"/>
      <c r="C59" s="495"/>
      <c r="D59" s="495"/>
      <c r="E59" s="495"/>
      <c r="F59" s="496">
        <f t="shared" si="33"/>
        <v>0</v>
      </c>
      <c r="G59" s="497">
        <f t="shared" si="19"/>
        <v>0</v>
      </c>
      <c r="H59" s="496">
        <f t="shared" si="34"/>
        <v>0</v>
      </c>
      <c r="I59" s="498" t="str">
        <f t="shared" si="21"/>
        <v/>
      </c>
      <c r="J59" s="498" t="str">
        <f t="shared" si="22"/>
        <v/>
      </c>
      <c r="K59" s="499" t="str">
        <f t="shared" si="23"/>
        <v/>
      </c>
      <c r="L59" s="499" t="str">
        <f t="shared" si="24"/>
        <v/>
      </c>
      <c r="M59" s="552"/>
      <c r="N59" s="553" t="str">
        <f t="shared" si="25"/>
        <v/>
      </c>
      <c r="O59" s="553" t="str">
        <f t="shared" si="26"/>
        <v/>
      </c>
      <c r="P59" s="553" t="str">
        <f t="shared" si="27"/>
        <v/>
      </c>
      <c r="Q59" s="553" t="str">
        <f t="shared" si="28"/>
        <v/>
      </c>
      <c r="R59" s="553" t="str">
        <f t="shared" si="29"/>
        <v/>
      </c>
      <c r="S59" s="553" t="str">
        <f t="shared" si="30"/>
        <v/>
      </c>
      <c r="T59" s="553" t="str">
        <f t="shared" si="31"/>
        <v/>
      </c>
      <c r="U59" s="554" t="str">
        <f t="shared" si="32"/>
        <v/>
      </c>
    </row>
    <row r="60" spans="1:21" x14ac:dyDescent="0.3">
      <c r="A60" s="505">
        <f>2</f>
        <v>2</v>
      </c>
      <c r="B60" s="495"/>
      <c r="C60" s="495"/>
      <c r="D60" s="495"/>
      <c r="E60" s="495"/>
      <c r="F60" s="496">
        <f t="shared" si="33"/>
        <v>0</v>
      </c>
      <c r="G60" s="497">
        <f t="shared" si="19"/>
        <v>0</v>
      </c>
      <c r="H60" s="496">
        <f t="shared" si="34"/>
        <v>0</v>
      </c>
      <c r="I60" s="498" t="str">
        <f t="shared" si="21"/>
        <v/>
      </c>
      <c r="J60" s="498" t="str">
        <f t="shared" si="22"/>
        <v/>
      </c>
      <c r="K60" s="499" t="str">
        <f t="shared" si="23"/>
        <v/>
      </c>
      <c r="L60" s="499" t="str">
        <f t="shared" si="24"/>
        <v/>
      </c>
      <c r="M60" s="552"/>
      <c r="N60" s="553" t="str">
        <f t="shared" si="25"/>
        <v/>
      </c>
      <c r="O60" s="553" t="str">
        <f t="shared" si="26"/>
        <v/>
      </c>
      <c r="P60" s="553" t="str">
        <f t="shared" si="27"/>
        <v/>
      </c>
      <c r="Q60" s="553" t="str">
        <f t="shared" si="28"/>
        <v/>
      </c>
      <c r="R60" s="553" t="str">
        <f t="shared" si="29"/>
        <v/>
      </c>
      <c r="S60" s="553" t="str">
        <f t="shared" si="30"/>
        <v/>
      </c>
      <c r="T60" s="553" t="str">
        <f t="shared" si="31"/>
        <v/>
      </c>
      <c r="U60" s="554" t="str">
        <f t="shared" si="32"/>
        <v/>
      </c>
    </row>
    <row r="61" spans="1:21" x14ac:dyDescent="0.3">
      <c r="A61" s="505">
        <f>2</f>
        <v>2</v>
      </c>
      <c r="B61" s="495"/>
      <c r="C61" s="495"/>
      <c r="D61" s="495"/>
      <c r="E61" s="495"/>
      <c r="F61" s="496">
        <f t="shared" si="33"/>
        <v>0</v>
      </c>
      <c r="G61" s="497">
        <f t="shared" si="19"/>
        <v>0</v>
      </c>
      <c r="H61" s="496">
        <f t="shared" si="34"/>
        <v>0</v>
      </c>
      <c r="I61" s="498" t="str">
        <f t="shared" si="21"/>
        <v/>
      </c>
      <c r="J61" s="498" t="str">
        <f t="shared" si="22"/>
        <v/>
      </c>
      <c r="K61" s="499" t="str">
        <f t="shared" si="23"/>
        <v/>
      </c>
      <c r="L61" s="499" t="str">
        <f t="shared" si="24"/>
        <v/>
      </c>
      <c r="M61" s="552"/>
      <c r="N61" s="553" t="str">
        <f t="shared" si="25"/>
        <v/>
      </c>
      <c r="O61" s="553" t="str">
        <f t="shared" si="26"/>
        <v/>
      </c>
      <c r="P61" s="553" t="str">
        <f t="shared" si="27"/>
        <v/>
      </c>
      <c r="Q61" s="553" t="str">
        <f t="shared" si="28"/>
        <v/>
      </c>
      <c r="R61" s="553" t="str">
        <f t="shared" si="29"/>
        <v/>
      </c>
      <c r="S61" s="553" t="str">
        <f t="shared" si="30"/>
        <v/>
      </c>
      <c r="T61" s="553" t="str">
        <f t="shared" si="31"/>
        <v/>
      </c>
      <c r="U61" s="554" t="str">
        <f t="shared" si="32"/>
        <v/>
      </c>
    </row>
    <row r="62" spans="1:21" x14ac:dyDescent="0.3">
      <c r="B62" s="431" t="s">
        <v>139</v>
      </c>
      <c r="C62" s="253">
        <f>COUNT(B52:B61)</f>
        <v>0</v>
      </c>
      <c r="D62" s="445"/>
      <c r="E62" s="445"/>
      <c r="J62" s="502" t="s">
        <v>104</v>
      </c>
      <c r="K62" s="254" t="str">
        <f>IF($A52&lt;=$B$5,SUM(K52:K61),"")</f>
        <v/>
      </c>
      <c r="L62" s="254" t="str">
        <f>IF($A52&lt;=$B$5,SUM(L52:L61),"")</f>
        <v/>
      </c>
      <c r="M62" s="506"/>
      <c r="N62" s="254">
        <f t="shared" ref="N62:U62" si="35">SUM(N52:N61)</f>
        <v>0</v>
      </c>
      <c r="O62" s="256">
        <f t="shared" si="35"/>
        <v>0</v>
      </c>
      <c r="P62" s="256">
        <f t="shared" si="35"/>
        <v>0</v>
      </c>
      <c r="Q62" s="256">
        <f t="shared" si="35"/>
        <v>0</v>
      </c>
      <c r="R62" s="256">
        <f t="shared" si="35"/>
        <v>0</v>
      </c>
      <c r="S62" s="256">
        <f t="shared" si="35"/>
        <v>0</v>
      </c>
      <c r="T62" s="256">
        <f t="shared" si="35"/>
        <v>0</v>
      </c>
      <c r="U62" s="256">
        <f t="shared" si="35"/>
        <v>0</v>
      </c>
    </row>
    <row r="63" spans="1:21" x14ac:dyDescent="0.3">
      <c r="B63" s="431"/>
      <c r="C63" s="445"/>
      <c r="D63" s="445"/>
      <c r="E63" s="445"/>
      <c r="M63" s="443"/>
      <c r="N63" s="443"/>
      <c r="P63" s="443"/>
      <c r="Q63" s="443"/>
      <c r="R63" s="443"/>
      <c r="S63" s="443"/>
      <c r="T63" s="443"/>
      <c r="U63" s="443"/>
    </row>
    <row r="64" spans="1:21" x14ac:dyDescent="0.3">
      <c r="B64" s="431"/>
      <c r="C64" s="445"/>
      <c r="D64" s="445"/>
      <c r="E64" s="445"/>
      <c r="M64" s="443"/>
      <c r="N64" s="443"/>
      <c r="P64" s="443"/>
      <c r="Q64" s="443"/>
      <c r="R64" s="443"/>
      <c r="S64" s="443"/>
      <c r="T64" s="443"/>
      <c r="U64" s="443"/>
    </row>
    <row r="65" spans="1:21" x14ac:dyDescent="0.3">
      <c r="B65" s="431"/>
      <c r="C65" s="445"/>
      <c r="D65" s="445"/>
      <c r="E65" s="445"/>
      <c r="K65" s="451"/>
      <c r="L65" s="451"/>
      <c r="M65" s="452"/>
      <c r="O65" s="451"/>
    </row>
    <row r="66" spans="1:21" x14ac:dyDescent="0.3">
      <c r="B66" s="431"/>
      <c r="C66" s="445"/>
      <c r="D66" s="445"/>
      <c r="E66" s="445"/>
      <c r="K66" s="451"/>
      <c r="L66" s="451"/>
      <c r="M66" s="452"/>
      <c r="O66" s="451"/>
    </row>
    <row r="67" spans="1:21" x14ac:dyDescent="0.3">
      <c r="C67" s="483"/>
      <c r="D67" s="484" t="s">
        <v>793</v>
      </c>
      <c r="E67" s="485"/>
      <c r="J67" s="483"/>
      <c r="K67" s="484" t="s">
        <v>803</v>
      </c>
      <c r="L67" s="485"/>
      <c r="M67" s="452"/>
      <c r="N67" s="487"/>
      <c r="O67" s="488"/>
      <c r="P67" s="488"/>
      <c r="Q67" s="488"/>
      <c r="R67" s="489" t="s">
        <v>136</v>
      </c>
      <c r="S67" s="488"/>
      <c r="T67" s="488"/>
      <c r="U67" s="490"/>
    </row>
    <row r="68" spans="1:21" ht="21" x14ac:dyDescent="0.3">
      <c r="A68" s="491" t="s">
        <v>135</v>
      </c>
      <c r="B68" s="491" t="s">
        <v>143</v>
      </c>
      <c r="C68" s="491" t="s">
        <v>776</v>
      </c>
      <c r="D68" s="491" t="s">
        <v>777</v>
      </c>
      <c r="E68" s="491" t="s">
        <v>157</v>
      </c>
      <c r="F68" s="491" t="s">
        <v>973</v>
      </c>
      <c r="G68" s="491" t="s">
        <v>778</v>
      </c>
      <c r="H68" s="491" t="s">
        <v>779</v>
      </c>
      <c r="I68" s="491" t="s">
        <v>974</v>
      </c>
      <c r="J68" s="491" t="s">
        <v>975</v>
      </c>
      <c r="K68" s="491" t="s">
        <v>976</v>
      </c>
      <c r="L68" s="491" t="s">
        <v>977</v>
      </c>
      <c r="M68" s="492" t="s">
        <v>824</v>
      </c>
      <c r="N68" s="491" t="s">
        <v>137</v>
      </c>
      <c r="O68" s="491" t="s">
        <v>138</v>
      </c>
      <c r="P68" s="491" t="s">
        <v>161</v>
      </c>
      <c r="Q68" s="491" t="s">
        <v>162</v>
      </c>
      <c r="R68" s="491" t="s">
        <v>163</v>
      </c>
      <c r="S68" s="491" t="s">
        <v>164</v>
      </c>
      <c r="T68" s="491" t="s">
        <v>165</v>
      </c>
      <c r="U68" s="491" t="s">
        <v>166</v>
      </c>
    </row>
    <row r="69" spans="1:21" x14ac:dyDescent="0.3">
      <c r="A69" s="505">
        <f>3</f>
        <v>3</v>
      </c>
      <c r="B69" s="495"/>
      <c r="C69" s="495"/>
      <c r="D69" s="495"/>
      <c r="E69" s="495"/>
      <c r="F69" s="496">
        <f t="shared" ref="F69" si="36">(0.5*(4/3*(PI()*((C69*0.5)*(D69*0.5)*E69)))/1000)</f>
        <v>0</v>
      </c>
      <c r="G69" s="497">
        <f t="shared" ref="G69:G78" si="37">IF(B69=1,$D$11,IF(B69=2,$D$12,IF(B69=3,$D$13,IF(B69=4,$D$14,IF(B69=5,$D$15,IF(B69=6,$D$16,IF(B69=7,$D$17,IF(B69=8,$D$18,))))))))</f>
        <v>0</v>
      </c>
      <c r="H69" s="496">
        <f t="shared" ref="H69" si="38">IF(F69&gt;0,(((0.5*(4/3*(PI()*(((0.5*C69)+G69))*(((0.5*D69)+G69))*(E69+G69))))/1000-F69)), 0)</f>
        <v>0</v>
      </c>
      <c r="I69" s="498" t="str">
        <f t="shared" ref="I69:I78" si="39">IF(B69=1,$G$11,IF(B69=2,$G$12,IF(B69=3,$G$13,IF(B69=4,$G$14,IF(B69=5,$G$15,IF(B69=6,$G$16,IF(B69=7,$G$17,IF(B69=8,$G$18,""))))))))</f>
        <v/>
      </c>
      <c r="J69" s="498" t="str">
        <f t="shared" ref="J69:J78" si="40">IFERROR((H69*I69)*365, "")</f>
        <v/>
      </c>
      <c r="K69" s="499" t="str">
        <f t="shared" ref="K69:K78" si="41">IFERROR(J69*(1/$B$6), "")</f>
        <v/>
      </c>
      <c r="L69" s="499" t="str">
        <f t="shared" ref="L69:L78" si="42">IFERROR(K69/1000, "")</f>
        <v/>
      </c>
      <c r="M69" s="500"/>
      <c r="N69" s="498" t="str">
        <f t="shared" ref="N69:N78" si="43">IF(B69=1, L69,"")</f>
        <v/>
      </c>
      <c r="O69" s="498" t="str">
        <f t="shared" ref="O69:O78" si="44">IF(B69=2, L69,"")</f>
        <v/>
      </c>
      <c r="P69" s="498" t="str">
        <f t="shared" ref="P69:P78" si="45">IF(B69=3, L69,"")</f>
        <v/>
      </c>
      <c r="Q69" s="498" t="str">
        <f t="shared" ref="Q69:Q78" si="46">IF(B69=4, L69,"")</f>
        <v/>
      </c>
      <c r="R69" s="498" t="str">
        <f t="shared" ref="R69:R78" si="47">IF(B69=5, L69,"")</f>
        <v/>
      </c>
      <c r="S69" s="498" t="str">
        <f t="shared" ref="S69:S78" si="48">IF(B69=6, L69,"")</f>
        <v/>
      </c>
      <c r="T69" s="498" t="str">
        <f t="shared" ref="T69:T78" si="49">IF(B69=7, L69,"")</f>
        <v/>
      </c>
      <c r="U69" s="501" t="str">
        <f t="shared" ref="U69:U78" si="50">IF(B69=8, L69,"")</f>
        <v/>
      </c>
    </row>
    <row r="70" spans="1:21" x14ac:dyDescent="0.3">
      <c r="A70" s="505">
        <f>3</f>
        <v>3</v>
      </c>
      <c r="B70" s="495"/>
      <c r="C70" s="495"/>
      <c r="D70" s="495"/>
      <c r="E70" s="495"/>
      <c r="F70" s="496">
        <f t="shared" ref="F70:F78" si="51">(0.5*(4/3*(PI()*((C70*0.5)*(D70*0.5)*E70)))/1000)</f>
        <v>0</v>
      </c>
      <c r="G70" s="497">
        <f t="shared" si="37"/>
        <v>0</v>
      </c>
      <c r="H70" s="496">
        <f t="shared" ref="H70:H78" si="52">IF(F70&gt;0,(((0.5*(4/3*(PI()*(((0.5*C70)+G70))*(((0.5*D70)+G70))*(E70+G70))))/1000-F70)), 0)</f>
        <v>0</v>
      </c>
      <c r="I70" s="498" t="str">
        <f t="shared" si="39"/>
        <v/>
      </c>
      <c r="J70" s="498" t="str">
        <f t="shared" si="40"/>
        <v/>
      </c>
      <c r="K70" s="499" t="str">
        <f t="shared" si="41"/>
        <v/>
      </c>
      <c r="L70" s="499" t="str">
        <f t="shared" si="42"/>
        <v/>
      </c>
      <c r="M70" s="500"/>
      <c r="N70" s="553" t="str">
        <f t="shared" si="43"/>
        <v/>
      </c>
      <c r="O70" s="553" t="str">
        <f t="shared" si="44"/>
        <v/>
      </c>
      <c r="P70" s="553" t="str">
        <f t="shared" si="45"/>
        <v/>
      </c>
      <c r="Q70" s="553" t="str">
        <f t="shared" si="46"/>
        <v/>
      </c>
      <c r="R70" s="553" t="str">
        <f t="shared" si="47"/>
        <v/>
      </c>
      <c r="S70" s="553" t="str">
        <f t="shared" si="48"/>
        <v/>
      </c>
      <c r="T70" s="553" t="str">
        <f t="shared" si="49"/>
        <v/>
      </c>
      <c r="U70" s="554" t="str">
        <f t="shared" si="50"/>
        <v/>
      </c>
    </row>
    <row r="71" spans="1:21" x14ac:dyDescent="0.3">
      <c r="A71" s="505">
        <f>3</f>
        <v>3</v>
      </c>
      <c r="B71" s="495"/>
      <c r="C71" s="495"/>
      <c r="D71" s="495"/>
      <c r="E71" s="495"/>
      <c r="F71" s="496">
        <f t="shared" si="51"/>
        <v>0</v>
      </c>
      <c r="G71" s="497">
        <f t="shared" si="37"/>
        <v>0</v>
      </c>
      <c r="H71" s="496">
        <f t="shared" si="52"/>
        <v>0</v>
      </c>
      <c r="I71" s="498" t="str">
        <f t="shared" si="39"/>
        <v/>
      </c>
      <c r="J71" s="498" t="str">
        <f t="shared" si="40"/>
        <v/>
      </c>
      <c r="K71" s="499" t="str">
        <f t="shared" si="41"/>
        <v/>
      </c>
      <c r="L71" s="499" t="str">
        <f t="shared" si="42"/>
        <v/>
      </c>
      <c r="M71" s="500"/>
      <c r="N71" s="553" t="str">
        <f t="shared" si="43"/>
        <v/>
      </c>
      <c r="O71" s="553" t="str">
        <f t="shared" si="44"/>
        <v/>
      </c>
      <c r="P71" s="553" t="str">
        <f t="shared" si="45"/>
        <v/>
      </c>
      <c r="Q71" s="553" t="str">
        <f t="shared" si="46"/>
        <v/>
      </c>
      <c r="R71" s="553" t="str">
        <f t="shared" si="47"/>
        <v/>
      </c>
      <c r="S71" s="553" t="str">
        <f t="shared" si="48"/>
        <v/>
      </c>
      <c r="T71" s="553" t="str">
        <f t="shared" si="49"/>
        <v/>
      </c>
      <c r="U71" s="554" t="str">
        <f t="shared" si="50"/>
        <v/>
      </c>
    </row>
    <row r="72" spans="1:21" x14ac:dyDescent="0.3">
      <c r="A72" s="505">
        <f>3</f>
        <v>3</v>
      </c>
      <c r="B72" s="495"/>
      <c r="C72" s="495"/>
      <c r="D72" s="495"/>
      <c r="E72" s="495"/>
      <c r="F72" s="496">
        <f t="shared" si="51"/>
        <v>0</v>
      </c>
      <c r="G72" s="497">
        <f t="shared" si="37"/>
        <v>0</v>
      </c>
      <c r="H72" s="496">
        <f t="shared" si="52"/>
        <v>0</v>
      </c>
      <c r="I72" s="498" t="str">
        <f t="shared" si="39"/>
        <v/>
      </c>
      <c r="J72" s="498" t="str">
        <f t="shared" si="40"/>
        <v/>
      </c>
      <c r="K72" s="499" t="str">
        <f t="shared" si="41"/>
        <v/>
      </c>
      <c r="L72" s="499" t="str">
        <f t="shared" si="42"/>
        <v/>
      </c>
      <c r="M72" s="500"/>
      <c r="N72" s="553" t="str">
        <f t="shared" si="43"/>
        <v/>
      </c>
      <c r="O72" s="553" t="str">
        <f t="shared" si="44"/>
        <v/>
      </c>
      <c r="P72" s="553" t="str">
        <f t="shared" si="45"/>
        <v/>
      </c>
      <c r="Q72" s="553" t="str">
        <f t="shared" si="46"/>
        <v/>
      </c>
      <c r="R72" s="553" t="str">
        <f t="shared" si="47"/>
        <v/>
      </c>
      <c r="S72" s="553" t="str">
        <f t="shared" si="48"/>
        <v/>
      </c>
      <c r="T72" s="553" t="str">
        <f t="shared" si="49"/>
        <v/>
      </c>
      <c r="U72" s="554" t="str">
        <f t="shared" si="50"/>
        <v/>
      </c>
    </row>
    <row r="73" spans="1:21" x14ac:dyDescent="0.3">
      <c r="A73" s="505">
        <f>3</f>
        <v>3</v>
      </c>
      <c r="B73" s="495"/>
      <c r="C73" s="495"/>
      <c r="D73" s="495"/>
      <c r="E73" s="495"/>
      <c r="F73" s="496">
        <f t="shared" si="51"/>
        <v>0</v>
      </c>
      <c r="G73" s="497">
        <f t="shared" si="37"/>
        <v>0</v>
      </c>
      <c r="H73" s="496">
        <f t="shared" si="52"/>
        <v>0</v>
      </c>
      <c r="I73" s="498" t="str">
        <f t="shared" si="39"/>
        <v/>
      </c>
      <c r="J73" s="498" t="str">
        <f t="shared" si="40"/>
        <v/>
      </c>
      <c r="K73" s="499" t="str">
        <f t="shared" si="41"/>
        <v/>
      </c>
      <c r="L73" s="499" t="str">
        <f t="shared" si="42"/>
        <v/>
      </c>
      <c r="M73" s="500"/>
      <c r="N73" s="553" t="str">
        <f t="shared" si="43"/>
        <v/>
      </c>
      <c r="O73" s="553" t="str">
        <f t="shared" si="44"/>
        <v/>
      </c>
      <c r="P73" s="553" t="str">
        <f t="shared" si="45"/>
        <v/>
      </c>
      <c r="Q73" s="553" t="str">
        <f t="shared" si="46"/>
        <v/>
      </c>
      <c r="R73" s="553" t="str">
        <f t="shared" si="47"/>
        <v/>
      </c>
      <c r="S73" s="553" t="str">
        <f t="shared" si="48"/>
        <v/>
      </c>
      <c r="T73" s="553" t="str">
        <f t="shared" si="49"/>
        <v/>
      </c>
      <c r="U73" s="554" t="str">
        <f t="shared" si="50"/>
        <v/>
      </c>
    </row>
    <row r="74" spans="1:21" x14ac:dyDescent="0.3">
      <c r="A74" s="505">
        <f>3</f>
        <v>3</v>
      </c>
      <c r="B74" s="495"/>
      <c r="C74" s="495"/>
      <c r="D74" s="495"/>
      <c r="E74" s="495"/>
      <c r="F74" s="496">
        <f t="shared" si="51"/>
        <v>0</v>
      </c>
      <c r="G74" s="497">
        <f t="shared" si="37"/>
        <v>0</v>
      </c>
      <c r="H74" s="496">
        <f t="shared" si="52"/>
        <v>0</v>
      </c>
      <c r="I74" s="498" t="str">
        <f t="shared" si="39"/>
        <v/>
      </c>
      <c r="J74" s="498" t="str">
        <f t="shared" si="40"/>
        <v/>
      </c>
      <c r="K74" s="499" t="str">
        <f t="shared" si="41"/>
        <v/>
      </c>
      <c r="L74" s="499" t="str">
        <f t="shared" si="42"/>
        <v/>
      </c>
      <c r="M74" s="500"/>
      <c r="N74" s="553" t="str">
        <f t="shared" si="43"/>
        <v/>
      </c>
      <c r="O74" s="553" t="str">
        <f t="shared" si="44"/>
        <v/>
      </c>
      <c r="P74" s="553" t="str">
        <f t="shared" si="45"/>
        <v/>
      </c>
      <c r="Q74" s="553" t="str">
        <f t="shared" si="46"/>
        <v/>
      </c>
      <c r="R74" s="553" t="str">
        <f t="shared" si="47"/>
        <v/>
      </c>
      <c r="S74" s="553" t="str">
        <f t="shared" si="48"/>
        <v/>
      </c>
      <c r="T74" s="553" t="str">
        <f t="shared" si="49"/>
        <v/>
      </c>
      <c r="U74" s="554" t="str">
        <f t="shared" si="50"/>
        <v/>
      </c>
    </row>
    <row r="75" spans="1:21" x14ac:dyDescent="0.3">
      <c r="A75" s="505">
        <f>3</f>
        <v>3</v>
      </c>
      <c r="B75" s="495"/>
      <c r="C75" s="495"/>
      <c r="D75" s="495"/>
      <c r="E75" s="495"/>
      <c r="F75" s="496">
        <f t="shared" si="51"/>
        <v>0</v>
      </c>
      <c r="G75" s="497">
        <f t="shared" si="37"/>
        <v>0</v>
      </c>
      <c r="H75" s="496">
        <f t="shared" si="52"/>
        <v>0</v>
      </c>
      <c r="I75" s="498" t="str">
        <f t="shared" si="39"/>
        <v/>
      </c>
      <c r="J75" s="498" t="str">
        <f t="shared" si="40"/>
        <v/>
      </c>
      <c r="K75" s="499" t="str">
        <f t="shared" si="41"/>
        <v/>
      </c>
      <c r="L75" s="499" t="str">
        <f t="shared" si="42"/>
        <v/>
      </c>
      <c r="M75" s="500"/>
      <c r="N75" s="553" t="str">
        <f t="shared" si="43"/>
        <v/>
      </c>
      <c r="O75" s="553" t="str">
        <f t="shared" si="44"/>
        <v/>
      </c>
      <c r="P75" s="553" t="str">
        <f t="shared" si="45"/>
        <v/>
      </c>
      <c r="Q75" s="553" t="str">
        <f t="shared" si="46"/>
        <v/>
      </c>
      <c r="R75" s="553" t="str">
        <f t="shared" si="47"/>
        <v/>
      </c>
      <c r="S75" s="553" t="str">
        <f t="shared" si="48"/>
        <v/>
      </c>
      <c r="T75" s="553" t="str">
        <f t="shared" si="49"/>
        <v/>
      </c>
      <c r="U75" s="554" t="str">
        <f t="shared" si="50"/>
        <v/>
      </c>
    </row>
    <row r="76" spans="1:21" x14ac:dyDescent="0.3">
      <c r="A76" s="505">
        <f>3</f>
        <v>3</v>
      </c>
      <c r="B76" s="495"/>
      <c r="C76" s="495"/>
      <c r="D76" s="495"/>
      <c r="E76" s="495"/>
      <c r="F76" s="496">
        <f t="shared" si="51"/>
        <v>0</v>
      </c>
      <c r="G76" s="497">
        <f t="shared" si="37"/>
        <v>0</v>
      </c>
      <c r="H76" s="496">
        <f t="shared" si="52"/>
        <v>0</v>
      </c>
      <c r="I76" s="498" t="str">
        <f t="shared" si="39"/>
        <v/>
      </c>
      <c r="J76" s="498" t="str">
        <f t="shared" si="40"/>
        <v/>
      </c>
      <c r="K76" s="499" t="str">
        <f t="shared" si="41"/>
        <v/>
      </c>
      <c r="L76" s="499" t="str">
        <f t="shared" si="42"/>
        <v/>
      </c>
      <c r="M76" s="500"/>
      <c r="N76" s="553" t="str">
        <f t="shared" si="43"/>
        <v/>
      </c>
      <c r="O76" s="553" t="str">
        <f t="shared" si="44"/>
        <v/>
      </c>
      <c r="P76" s="553" t="str">
        <f t="shared" si="45"/>
        <v/>
      </c>
      <c r="Q76" s="553" t="str">
        <f t="shared" si="46"/>
        <v/>
      </c>
      <c r="R76" s="553" t="str">
        <f t="shared" si="47"/>
        <v/>
      </c>
      <c r="S76" s="553" t="str">
        <f t="shared" si="48"/>
        <v/>
      </c>
      <c r="T76" s="553" t="str">
        <f t="shared" si="49"/>
        <v/>
      </c>
      <c r="U76" s="554" t="str">
        <f t="shared" si="50"/>
        <v/>
      </c>
    </row>
    <row r="77" spans="1:21" x14ac:dyDescent="0.3">
      <c r="A77" s="505">
        <f>3</f>
        <v>3</v>
      </c>
      <c r="B77" s="495"/>
      <c r="C77" s="495"/>
      <c r="D77" s="495"/>
      <c r="E77" s="495"/>
      <c r="F77" s="496">
        <f t="shared" si="51"/>
        <v>0</v>
      </c>
      <c r="G77" s="497">
        <f t="shared" si="37"/>
        <v>0</v>
      </c>
      <c r="H77" s="496">
        <f t="shared" si="52"/>
        <v>0</v>
      </c>
      <c r="I77" s="498" t="str">
        <f t="shared" si="39"/>
        <v/>
      </c>
      <c r="J77" s="498" t="str">
        <f t="shared" si="40"/>
        <v/>
      </c>
      <c r="K77" s="499" t="str">
        <f t="shared" si="41"/>
        <v/>
      </c>
      <c r="L77" s="499" t="str">
        <f t="shared" si="42"/>
        <v/>
      </c>
      <c r="M77" s="500"/>
      <c r="N77" s="553" t="str">
        <f t="shared" si="43"/>
        <v/>
      </c>
      <c r="O77" s="553" t="str">
        <f t="shared" si="44"/>
        <v/>
      </c>
      <c r="P77" s="553" t="str">
        <f t="shared" si="45"/>
        <v/>
      </c>
      <c r="Q77" s="553" t="str">
        <f t="shared" si="46"/>
        <v/>
      </c>
      <c r="R77" s="553" t="str">
        <f t="shared" si="47"/>
        <v/>
      </c>
      <c r="S77" s="553" t="str">
        <f t="shared" si="48"/>
        <v/>
      </c>
      <c r="T77" s="553" t="str">
        <f t="shared" si="49"/>
        <v/>
      </c>
      <c r="U77" s="554" t="str">
        <f t="shared" si="50"/>
        <v/>
      </c>
    </row>
    <row r="78" spans="1:21" x14ac:dyDescent="0.3">
      <c r="A78" s="505">
        <f>3</f>
        <v>3</v>
      </c>
      <c r="B78" s="495"/>
      <c r="C78" s="495"/>
      <c r="D78" s="495"/>
      <c r="E78" s="495"/>
      <c r="F78" s="496">
        <f t="shared" si="51"/>
        <v>0</v>
      </c>
      <c r="G78" s="497">
        <f t="shared" si="37"/>
        <v>0</v>
      </c>
      <c r="H78" s="496">
        <f t="shared" si="52"/>
        <v>0</v>
      </c>
      <c r="I78" s="498" t="str">
        <f t="shared" si="39"/>
        <v/>
      </c>
      <c r="J78" s="498" t="str">
        <f t="shared" si="40"/>
        <v/>
      </c>
      <c r="K78" s="499" t="str">
        <f t="shared" si="41"/>
        <v/>
      </c>
      <c r="L78" s="499" t="str">
        <f t="shared" si="42"/>
        <v/>
      </c>
      <c r="M78" s="500"/>
      <c r="N78" s="553" t="str">
        <f t="shared" si="43"/>
        <v/>
      </c>
      <c r="O78" s="553" t="str">
        <f t="shared" si="44"/>
        <v/>
      </c>
      <c r="P78" s="553" t="str">
        <f t="shared" si="45"/>
        <v/>
      </c>
      <c r="Q78" s="553" t="str">
        <f t="shared" si="46"/>
        <v/>
      </c>
      <c r="R78" s="553" t="str">
        <f t="shared" si="47"/>
        <v/>
      </c>
      <c r="S78" s="553" t="str">
        <f t="shared" si="48"/>
        <v/>
      </c>
      <c r="T78" s="553" t="str">
        <f t="shared" si="49"/>
        <v/>
      </c>
      <c r="U78" s="554" t="str">
        <f t="shared" si="50"/>
        <v/>
      </c>
    </row>
    <row r="79" spans="1:21" x14ac:dyDescent="0.3">
      <c r="B79" s="431" t="s">
        <v>139</v>
      </c>
      <c r="C79" s="253">
        <f>COUNT(B69:B78)</f>
        <v>0</v>
      </c>
      <c r="D79" s="445"/>
      <c r="E79" s="445"/>
      <c r="J79" s="502" t="s">
        <v>104</v>
      </c>
      <c r="K79" s="254" t="str">
        <f>IF($A69&lt;=$B$5,SUM(K69:K78),"")</f>
        <v/>
      </c>
      <c r="L79" s="254" t="str">
        <f>IF($A69&lt;=$B$5,SUM(L69:L78),"")</f>
        <v/>
      </c>
      <c r="M79" s="452"/>
      <c r="N79" s="503">
        <f t="shared" ref="N79:U79" si="53">SUM(N69:N69)</f>
        <v>0</v>
      </c>
      <c r="O79" s="504">
        <f t="shared" si="53"/>
        <v>0</v>
      </c>
      <c r="P79" s="504">
        <f t="shared" si="53"/>
        <v>0</v>
      </c>
      <c r="Q79" s="504">
        <f t="shared" si="53"/>
        <v>0</v>
      </c>
      <c r="R79" s="504">
        <f t="shared" si="53"/>
        <v>0</v>
      </c>
      <c r="S79" s="504">
        <f t="shared" si="53"/>
        <v>0</v>
      </c>
      <c r="T79" s="504">
        <f t="shared" si="53"/>
        <v>0</v>
      </c>
      <c r="U79" s="504">
        <f t="shared" si="53"/>
        <v>0</v>
      </c>
    </row>
    <row r="80" spans="1:21" x14ac:dyDescent="0.3">
      <c r="K80" s="451"/>
      <c r="L80" s="451"/>
      <c r="M80" s="443"/>
      <c r="N80" s="458"/>
      <c r="O80" s="458"/>
      <c r="P80" s="458"/>
      <c r="Q80" s="458"/>
      <c r="R80" s="458"/>
      <c r="S80" s="458"/>
      <c r="T80" s="458"/>
      <c r="U80" s="458"/>
    </row>
    <row r="81" spans="1:21" x14ac:dyDescent="0.3">
      <c r="K81" s="451"/>
      <c r="L81" s="451"/>
      <c r="M81" s="443"/>
      <c r="N81" s="458"/>
      <c r="O81" s="458"/>
      <c r="P81" s="458"/>
      <c r="Q81" s="458"/>
      <c r="R81" s="458"/>
      <c r="S81" s="458"/>
      <c r="T81" s="458"/>
      <c r="U81" s="458"/>
    </row>
    <row r="82" spans="1:21" x14ac:dyDescent="0.3">
      <c r="K82" s="451"/>
      <c r="L82" s="451"/>
      <c r="M82" s="443"/>
      <c r="N82" s="458"/>
      <c r="O82" s="458"/>
      <c r="P82" s="458"/>
      <c r="Q82" s="458"/>
      <c r="R82" s="458"/>
      <c r="S82" s="458"/>
      <c r="T82" s="458"/>
      <c r="U82" s="458"/>
    </row>
    <row r="83" spans="1:21" x14ac:dyDescent="0.3">
      <c r="K83" s="451"/>
      <c r="L83" s="451"/>
      <c r="M83" s="443"/>
      <c r="N83" s="458"/>
      <c r="O83" s="458"/>
      <c r="P83" s="458"/>
      <c r="Q83" s="458"/>
      <c r="R83" s="458"/>
      <c r="S83" s="458"/>
      <c r="T83" s="458"/>
      <c r="U83" s="458"/>
    </row>
    <row r="84" spans="1:21" x14ac:dyDescent="0.3">
      <c r="C84" s="483"/>
      <c r="D84" s="484" t="s">
        <v>793</v>
      </c>
      <c r="E84" s="485"/>
      <c r="J84" s="483"/>
      <c r="K84" s="484" t="s">
        <v>803</v>
      </c>
      <c r="L84" s="485"/>
      <c r="M84" s="452"/>
      <c r="N84" s="487"/>
      <c r="O84" s="488"/>
      <c r="P84" s="488"/>
      <c r="Q84" s="488"/>
      <c r="R84" s="489" t="s">
        <v>136</v>
      </c>
      <c r="S84" s="488"/>
      <c r="T84" s="488"/>
      <c r="U84" s="490"/>
    </row>
    <row r="85" spans="1:21" ht="21" x14ac:dyDescent="0.3">
      <c r="A85" s="491" t="s">
        <v>135</v>
      </c>
      <c r="B85" s="491" t="s">
        <v>143</v>
      </c>
      <c r="C85" s="491" t="s">
        <v>776</v>
      </c>
      <c r="D85" s="491" t="s">
        <v>777</v>
      </c>
      <c r="E85" s="491" t="s">
        <v>157</v>
      </c>
      <c r="F85" s="491" t="s">
        <v>973</v>
      </c>
      <c r="G85" s="491" t="s">
        <v>778</v>
      </c>
      <c r="H85" s="491" t="s">
        <v>779</v>
      </c>
      <c r="I85" s="491" t="s">
        <v>974</v>
      </c>
      <c r="J85" s="491" t="s">
        <v>975</v>
      </c>
      <c r="K85" s="491" t="s">
        <v>976</v>
      </c>
      <c r="L85" s="491" t="s">
        <v>977</v>
      </c>
      <c r="M85" s="492" t="s">
        <v>824</v>
      </c>
      <c r="N85" s="491" t="s">
        <v>137</v>
      </c>
      <c r="O85" s="491" t="s">
        <v>138</v>
      </c>
      <c r="P85" s="491" t="s">
        <v>161</v>
      </c>
      <c r="Q85" s="491" t="s">
        <v>162</v>
      </c>
      <c r="R85" s="491" t="s">
        <v>163</v>
      </c>
      <c r="S85" s="491" t="s">
        <v>164</v>
      </c>
      <c r="T85" s="491" t="s">
        <v>165</v>
      </c>
      <c r="U85" s="491" t="s">
        <v>166</v>
      </c>
    </row>
    <row r="86" spans="1:21" x14ac:dyDescent="0.3">
      <c r="A86" s="505">
        <f>4</f>
        <v>4</v>
      </c>
      <c r="B86" s="495"/>
      <c r="C86" s="495"/>
      <c r="D86" s="495"/>
      <c r="E86" s="495"/>
      <c r="F86" s="496">
        <f t="shared" ref="F86" si="54">(0.5*(4/3*(PI()*((C86*0.5)*(D86*0.5)*E86)))/1000)</f>
        <v>0</v>
      </c>
      <c r="G86" s="497">
        <f t="shared" ref="G86:G95" si="55">IF(B86=1,$D$11,IF(B86=2,$D$12,IF(B86=3,$D$13,IF(B86=4,$D$14,IF(B86=5,$D$15,IF(B86=6,$D$16,IF(B86=7,$D$17,IF(B86=8,$D$18,))))))))</f>
        <v>0</v>
      </c>
      <c r="H86" s="496">
        <f t="shared" ref="H86" si="56">IF(F86&gt;0,(((0.5*(4/3*(PI()*(((0.5*C86)+G86))*(((0.5*D86)+G86))*(E86+G86))))/1000-F86)), 0)</f>
        <v>0</v>
      </c>
      <c r="I86" s="498" t="str">
        <f t="shared" ref="I86:I95" si="57">IF(B86=1,$G$11,IF(B86=2,$G$12,IF(B86=3,$G$13,IF(B86=4,$G$14,IF(B86=5,$G$15,IF(B86=6,$G$16,IF(B86=7,$G$17,IF(B86=8,$G$18,""))))))))</f>
        <v/>
      </c>
      <c r="J86" s="498" t="str">
        <f t="shared" ref="J86:J95" si="58">IFERROR((H86*I86)*365, "")</f>
        <v/>
      </c>
      <c r="K86" s="499" t="str">
        <f t="shared" ref="K86:K95" si="59">IFERROR(J86*(1/$B$6), "")</f>
        <v/>
      </c>
      <c r="L86" s="499" t="str">
        <f t="shared" ref="L86:L95" si="60">IFERROR(K86/1000, "")</f>
        <v/>
      </c>
      <c r="M86" s="500"/>
      <c r="N86" s="498" t="str">
        <f t="shared" ref="N86:N95" si="61">IF(B86=1, L86,"")</f>
        <v/>
      </c>
      <c r="O86" s="498" t="str">
        <f t="shared" ref="O86:O95" si="62">IF(B86=2, L86,"")</f>
        <v/>
      </c>
      <c r="P86" s="498" t="str">
        <f t="shared" ref="P86:P95" si="63">IF(B86=3, L86,"")</f>
        <v/>
      </c>
      <c r="Q86" s="498" t="str">
        <f t="shared" ref="Q86:Q95" si="64">IF(B86=4, L86,"")</f>
        <v/>
      </c>
      <c r="R86" s="498" t="str">
        <f t="shared" ref="R86:R95" si="65">IF(B86=5, L86,"")</f>
        <v/>
      </c>
      <c r="S86" s="498" t="str">
        <f t="shared" ref="S86:S95" si="66">IF(B86=6, L86,"")</f>
        <v/>
      </c>
      <c r="T86" s="498" t="str">
        <f t="shared" ref="T86:T95" si="67">IF(B86=7, L86,"")</f>
        <v/>
      </c>
      <c r="U86" s="501" t="str">
        <f t="shared" ref="U86:U95" si="68">IF(B86=8, L86,"")</f>
        <v/>
      </c>
    </row>
    <row r="87" spans="1:21" x14ac:dyDescent="0.3">
      <c r="A87" s="505">
        <f>4</f>
        <v>4</v>
      </c>
      <c r="B87" s="495"/>
      <c r="C87" s="495"/>
      <c r="D87" s="495"/>
      <c r="E87" s="495"/>
      <c r="F87" s="496">
        <f t="shared" ref="F87:F95" si="69">(0.5*(4/3*(PI()*((C87*0.5)*(D87*0.5)*E87)))/1000)</f>
        <v>0</v>
      </c>
      <c r="G87" s="497">
        <f t="shared" si="55"/>
        <v>0</v>
      </c>
      <c r="H87" s="496">
        <f t="shared" ref="H87:H95" si="70">IF(F87&gt;0,(((0.5*(4/3*(PI()*(((0.5*C87)+G87))*(((0.5*D87)+G87))*(E87+G87))))/1000-F87)), 0)</f>
        <v>0</v>
      </c>
      <c r="I87" s="498" t="str">
        <f t="shared" si="57"/>
        <v/>
      </c>
      <c r="J87" s="498" t="str">
        <f t="shared" si="58"/>
        <v/>
      </c>
      <c r="K87" s="499" t="str">
        <f t="shared" si="59"/>
        <v/>
      </c>
      <c r="L87" s="499" t="str">
        <f t="shared" si="60"/>
        <v/>
      </c>
      <c r="M87" s="500"/>
      <c r="N87" s="553" t="str">
        <f t="shared" si="61"/>
        <v/>
      </c>
      <c r="O87" s="553" t="str">
        <f t="shared" si="62"/>
        <v/>
      </c>
      <c r="P87" s="553" t="str">
        <f t="shared" si="63"/>
        <v/>
      </c>
      <c r="Q87" s="553" t="str">
        <f t="shared" si="64"/>
        <v/>
      </c>
      <c r="R87" s="553" t="str">
        <f t="shared" si="65"/>
        <v/>
      </c>
      <c r="S87" s="553" t="str">
        <f t="shared" si="66"/>
        <v/>
      </c>
      <c r="T87" s="553" t="str">
        <f t="shared" si="67"/>
        <v/>
      </c>
      <c r="U87" s="554" t="str">
        <f t="shared" si="68"/>
        <v/>
      </c>
    </row>
    <row r="88" spans="1:21" x14ac:dyDescent="0.3">
      <c r="A88" s="505">
        <f>4</f>
        <v>4</v>
      </c>
      <c r="B88" s="495"/>
      <c r="C88" s="495"/>
      <c r="D88" s="495"/>
      <c r="E88" s="495"/>
      <c r="F88" s="496">
        <f t="shared" si="69"/>
        <v>0</v>
      </c>
      <c r="G88" s="497">
        <f t="shared" si="55"/>
        <v>0</v>
      </c>
      <c r="H88" s="496">
        <f t="shared" si="70"/>
        <v>0</v>
      </c>
      <c r="I88" s="498" t="str">
        <f t="shared" si="57"/>
        <v/>
      </c>
      <c r="J88" s="498" t="str">
        <f t="shared" si="58"/>
        <v/>
      </c>
      <c r="K88" s="499" t="str">
        <f t="shared" si="59"/>
        <v/>
      </c>
      <c r="L88" s="499" t="str">
        <f t="shared" si="60"/>
        <v/>
      </c>
      <c r="M88" s="500"/>
      <c r="N88" s="553" t="str">
        <f t="shared" si="61"/>
        <v/>
      </c>
      <c r="O88" s="553" t="str">
        <f t="shared" si="62"/>
        <v/>
      </c>
      <c r="P88" s="553" t="str">
        <f t="shared" si="63"/>
        <v/>
      </c>
      <c r="Q88" s="553" t="str">
        <f t="shared" si="64"/>
        <v/>
      </c>
      <c r="R88" s="553" t="str">
        <f t="shared" si="65"/>
        <v/>
      </c>
      <c r="S88" s="553" t="str">
        <f t="shared" si="66"/>
        <v/>
      </c>
      <c r="T88" s="553" t="str">
        <f t="shared" si="67"/>
        <v/>
      </c>
      <c r="U88" s="554" t="str">
        <f t="shared" si="68"/>
        <v/>
      </c>
    </row>
    <row r="89" spans="1:21" x14ac:dyDescent="0.3">
      <c r="A89" s="505">
        <f>4</f>
        <v>4</v>
      </c>
      <c r="B89" s="495"/>
      <c r="C89" s="495"/>
      <c r="D89" s="495"/>
      <c r="E89" s="495"/>
      <c r="F89" s="496">
        <f t="shared" si="69"/>
        <v>0</v>
      </c>
      <c r="G89" s="497">
        <f t="shared" si="55"/>
        <v>0</v>
      </c>
      <c r="H89" s="496">
        <f t="shared" si="70"/>
        <v>0</v>
      </c>
      <c r="I89" s="498" t="str">
        <f t="shared" si="57"/>
        <v/>
      </c>
      <c r="J89" s="498" t="str">
        <f t="shared" si="58"/>
        <v/>
      </c>
      <c r="K89" s="499" t="str">
        <f t="shared" si="59"/>
        <v/>
      </c>
      <c r="L89" s="499" t="str">
        <f t="shared" si="60"/>
        <v/>
      </c>
      <c r="M89" s="500"/>
      <c r="N89" s="553" t="str">
        <f t="shared" si="61"/>
        <v/>
      </c>
      <c r="O89" s="553" t="str">
        <f t="shared" si="62"/>
        <v/>
      </c>
      <c r="P89" s="553" t="str">
        <f t="shared" si="63"/>
        <v/>
      </c>
      <c r="Q89" s="553" t="str">
        <f t="shared" si="64"/>
        <v/>
      </c>
      <c r="R89" s="553" t="str">
        <f t="shared" si="65"/>
        <v/>
      </c>
      <c r="S89" s="553" t="str">
        <f t="shared" si="66"/>
        <v/>
      </c>
      <c r="T89" s="553" t="str">
        <f t="shared" si="67"/>
        <v/>
      </c>
      <c r="U89" s="554" t="str">
        <f t="shared" si="68"/>
        <v/>
      </c>
    </row>
    <row r="90" spans="1:21" x14ac:dyDescent="0.3">
      <c r="A90" s="505">
        <f>4</f>
        <v>4</v>
      </c>
      <c r="B90" s="495"/>
      <c r="C90" s="495"/>
      <c r="D90" s="495"/>
      <c r="E90" s="495"/>
      <c r="F90" s="496">
        <f t="shared" si="69"/>
        <v>0</v>
      </c>
      <c r="G90" s="497">
        <f t="shared" si="55"/>
        <v>0</v>
      </c>
      <c r="H90" s="496">
        <f t="shared" si="70"/>
        <v>0</v>
      </c>
      <c r="I90" s="498" t="str">
        <f t="shared" si="57"/>
        <v/>
      </c>
      <c r="J90" s="498" t="str">
        <f t="shared" si="58"/>
        <v/>
      </c>
      <c r="K90" s="499" t="str">
        <f t="shared" si="59"/>
        <v/>
      </c>
      <c r="L90" s="499" t="str">
        <f t="shared" si="60"/>
        <v/>
      </c>
      <c r="M90" s="500"/>
      <c r="N90" s="553" t="str">
        <f t="shared" si="61"/>
        <v/>
      </c>
      <c r="O90" s="553" t="str">
        <f t="shared" si="62"/>
        <v/>
      </c>
      <c r="P90" s="553" t="str">
        <f t="shared" si="63"/>
        <v/>
      </c>
      <c r="Q90" s="553" t="str">
        <f t="shared" si="64"/>
        <v/>
      </c>
      <c r="R90" s="553" t="str">
        <f t="shared" si="65"/>
        <v/>
      </c>
      <c r="S90" s="553" t="str">
        <f t="shared" si="66"/>
        <v/>
      </c>
      <c r="T90" s="553" t="str">
        <f t="shared" si="67"/>
        <v/>
      </c>
      <c r="U90" s="554" t="str">
        <f t="shared" si="68"/>
        <v/>
      </c>
    </row>
    <row r="91" spans="1:21" x14ac:dyDescent="0.3">
      <c r="A91" s="505">
        <f>4</f>
        <v>4</v>
      </c>
      <c r="B91" s="495"/>
      <c r="C91" s="495"/>
      <c r="D91" s="495"/>
      <c r="E91" s="495"/>
      <c r="F91" s="496">
        <f t="shared" si="69"/>
        <v>0</v>
      </c>
      <c r="G91" s="497">
        <f t="shared" si="55"/>
        <v>0</v>
      </c>
      <c r="H91" s="496">
        <f t="shared" si="70"/>
        <v>0</v>
      </c>
      <c r="I91" s="498" t="str">
        <f t="shared" si="57"/>
        <v/>
      </c>
      <c r="J91" s="498" t="str">
        <f t="shared" si="58"/>
        <v/>
      </c>
      <c r="K91" s="499" t="str">
        <f t="shared" si="59"/>
        <v/>
      </c>
      <c r="L91" s="499" t="str">
        <f t="shared" si="60"/>
        <v/>
      </c>
      <c r="M91" s="500"/>
      <c r="N91" s="553" t="str">
        <f t="shared" si="61"/>
        <v/>
      </c>
      <c r="O91" s="553" t="str">
        <f t="shared" si="62"/>
        <v/>
      </c>
      <c r="P91" s="553" t="str">
        <f t="shared" si="63"/>
        <v/>
      </c>
      <c r="Q91" s="553" t="str">
        <f t="shared" si="64"/>
        <v/>
      </c>
      <c r="R91" s="553" t="str">
        <f t="shared" si="65"/>
        <v/>
      </c>
      <c r="S91" s="553" t="str">
        <f t="shared" si="66"/>
        <v/>
      </c>
      <c r="T91" s="553" t="str">
        <f t="shared" si="67"/>
        <v/>
      </c>
      <c r="U91" s="554" t="str">
        <f t="shared" si="68"/>
        <v/>
      </c>
    </row>
    <row r="92" spans="1:21" x14ac:dyDescent="0.3">
      <c r="A92" s="505">
        <f>4</f>
        <v>4</v>
      </c>
      <c r="B92" s="495"/>
      <c r="C92" s="495"/>
      <c r="D92" s="495"/>
      <c r="E92" s="495"/>
      <c r="F92" s="496">
        <f t="shared" si="69"/>
        <v>0</v>
      </c>
      <c r="G92" s="497">
        <f t="shared" si="55"/>
        <v>0</v>
      </c>
      <c r="H92" s="496">
        <f t="shared" si="70"/>
        <v>0</v>
      </c>
      <c r="I92" s="498" t="str">
        <f t="shared" si="57"/>
        <v/>
      </c>
      <c r="J92" s="498" t="str">
        <f t="shared" si="58"/>
        <v/>
      </c>
      <c r="K92" s="499" t="str">
        <f t="shared" si="59"/>
        <v/>
      </c>
      <c r="L92" s="499" t="str">
        <f t="shared" si="60"/>
        <v/>
      </c>
      <c r="M92" s="500"/>
      <c r="N92" s="553" t="str">
        <f t="shared" si="61"/>
        <v/>
      </c>
      <c r="O92" s="553" t="str">
        <f t="shared" si="62"/>
        <v/>
      </c>
      <c r="P92" s="553" t="str">
        <f t="shared" si="63"/>
        <v/>
      </c>
      <c r="Q92" s="553" t="str">
        <f t="shared" si="64"/>
        <v/>
      </c>
      <c r="R92" s="553" t="str">
        <f t="shared" si="65"/>
        <v/>
      </c>
      <c r="S92" s="553" t="str">
        <f t="shared" si="66"/>
        <v/>
      </c>
      <c r="T92" s="553" t="str">
        <f t="shared" si="67"/>
        <v/>
      </c>
      <c r="U92" s="554" t="str">
        <f t="shared" si="68"/>
        <v/>
      </c>
    </row>
    <row r="93" spans="1:21" x14ac:dyDescent="0.3">
      <c r="A93" s="505">
        <f>4</f>
        <v>4</v>
      </c>
      <c r="B93" s="495"/>
      <c r="C93" s="495"/>
      <c r="D93" s="495"/>
      <c r="E93" s="495"/>
      <c r="F93" s="496">
        <f t="shared" si="69"/>
        <v>0</v>
      </c>
      <c r="G93" s="497">
        <f t="shared" si="55"/>
        <v>0</v>
      </c>
      <c r="H93" s="496">
        <f t="shared" si="70"/>
        <v>0</v>
      </c>
      <c r="I93" s="498" t="str">
        <f t="shared" si="57"/>
        <v/>
      </c>
      <c r="J93" s="498" t="str">
        <f t="shared" si="58"/>
        <v/>
      </c>
      <c r="K93" s="499" t="str">
        <f t="shared" si="59"/>
        <v/>
      </c>
      <c r="L93" s="499" t="str">
        <f t="shared" si="60"/>
        <v/>
      </c>
      <c r="M93" s="500"/>
      <c r="N93" s="553" t="str">
        <f t="shared" si="61"/>
        <v/>
      </c>
      <c r="O93" s="553" t="str">
        <f t="shared" si="62"/>
        <v/>
      </c>
      <c r="P93" s="553" t="str">
        <f t="shared" si="63"/>
        <v/>
      </c>
      <c r="Q93" s="553" t="str">
        <f t="shared" si="64"/>
        <v/>
      </c>
      <c r="R93" s="553" t="str">
        <f t="shared" si="65"/>
        <v/>
      </c>
      <c r="S93" s="553" t="str">
        <f t="shared" si="66"/>
        <v/>
      </c>
      <c r="T93" s="553" t="str">
        <f t="shared" si="67"/>
        <v/>
      </c>
      <c r="U93" s="554" t="str">
        <f t="shared" si="68"/>
        <v/>
      </c>
    </row>
    <row r="94" spans="1:21" x14ac:dyDescent="0.3">
      <c r="A94" s="505">
        <f>4</f>
        <v>4</v>
      </c>
      <c r="B94" s="495"/>
      <c r="C94" s="495"/>
      <c r="D94" s="495"/>
      <c r="E94" s="495"/>
      <c r="F94" s="496">
        <f t="shared" si="69"/>
        <v>0</v>
      </c>
      <c r="G94" s="497">
        <f t="shared" si="55"/>
        <v>0</v>
      </c>
      <c r="H94" s="496">
        <f t="shared" si="70"/>
        <v>0</v>
      </c>
      <c r="I94" s="498" t="str">
        <f t="shared" si="57"/>
        <v/>
      </c>
      <c r="J94" s="498" t="str">
        <f t="shared" si="58"/>
        <v/>
      </c>
      <c r="K94" s="499" t="str">
        <f t="shared" si="59"/>
        <v/>
      </c>
      <c r="L94" s="499" t="str">
        <f t="shared" si="60"/>
        <v/>
      </c>
      <c r="M94" s="500"/>
      <c r="N94" s="553" t="str">
        <f t="shared" si="61"/>
        <v/>
      </c>
      <c r="O94" s="553" t="str">
        <f t="shared" si="62"/>
        <v/>
      </c>
      <c r="P94" s="553" t="str">
        <f t="shared" si="63"/>
        <v/>
      </c>
      <c r="Q94" s="553" t="str">
        <f t="shared" si="64"/>
        <v/>
      </c>
      <c r="R94" s="553" t="str">
        <f t="shared" si="65"/>
        <v/>
      </c>
      <c r="S94" s="553" t="str">
        <f t="shared" si="66"/>
        <v/>
      </c>
      <c r="T94" s="553" t="str">
        <f t="shared" si="67"/>
        <v/>
      </c>
      <c r="U94" s="554" t="str">
        <f t="shared" si="68"/>
        <v/>
      </c>
    </row>
    <row r="95" spans="1:21" x14ac:dyDescent="0.3">
      <c r="A95" s="505">
        <f>4</f>
        <v>4</v>
      </c>
      <c r="B95" s="495"/>
      <c r="C95" s="495"/>
      <c r="D95" s="495"/>
      <c r="E95" s="495"/>
      <c r="F95" s="496">
        <f t="shared" si="69"/>
        <v>0</v>
      </c>
      <c r="G95" s="497">
        <f t="shared" si="55"/>
        <v>0</v>
      </c>
      <c r="H95" s="496">
        <f t="shared" si="70"/>
        <v>0</v>
      </c>
      <c r="I95" s="498" t="str">
        <f t="shared" si="57"/>
        <v/>
      </c>
      <c r="J95" s="498" t="str">
        <f t="shared" si="58"/>
        <v/>
      </c>
      <c r="K95" s="499" t="str">
        <f t="shared" si="59"/>
        <v/>
      </c>
      <c r="L95" s="499" t="str">
        <f t="shared" si="60"/>
        <v/>
      </c>
      <c r="M95" s="500"/>
      <c r="N95" s="553" t="str">
        <f t="shared" si="61"/>
        <v/>
      </c>
      <c r="O95" s="553" t="str">
        <f t="shared" si="62"/>
        <v/>
      </c>
      <c r="P95" s="553" t="str">
        <f t="shared" si="63"/>
        <v/>
      </c>
      <c r="Q95" s="553" t="str">
        <f t="shared" si="64"/>
        <v/>
      </c>
      <c r="R95" s="553" t="str">
        <f t="shared" si="65"/>
        <v/>
      </c>
      <c r="S95" s="553" t="str">
        <f t="shared" si="66"/>
        <v/>
      </c>
      <c r="T95" s="553" t="str">
        <f t="shared" si="67"/>
        <v/>
      </c>
      <c r="U95" s="554" t="str">
        <f t="shared" si="68"/>
        <v/>
      </c>
    </row>
    <row r="96" spans="1:21" x14ac:dyDescent="0.3">
      <c r="B96" s="431" t="s">
        <v>139</v>
      </c>
      <c r="C96" s="253">
        <f>COUNT(B86:B95)</f>
        <v>0</v>
      </c>
      <c r="D96" s="445"/>
      <c r="E96" s="445"/>
      <c r="J96" s="502" t="s">
        <v>104</v>
      </c>
      <c r="K96" s="254" t="str">
        <f>IF($A86&lt;=$B$5,SUM(K86:K95),"")</f>
        <v/>
      </c>
      <c r="L96" s="254" t="str">
        <f>IF($A86&lt;=$B$5,SUM(L86:L95),"")</f>
        <v/>
      </c>
      <c r="M96" s="452"/>
      <c r="N96" s="254">
        <f t="shared" ref="N96:U96" si="71">SUM(N86:N95)</f>
        <v>0</v>
      </c>
      <c r="O96" s="256">
        <f t="shared" si="71"/>
        <v>0</v>
      </c>
      <c r="P96" s="256">
        <f t="shared" si="71"/>
        <v>0</v>
      </c>
      <c r="Q96" s="256">
        <f t="shared" si="71"/>
        <v>0</v>
      </c>
      <c r="R96" s="256">
        <f t="shared" si="71"/>
        <v>0</v>
      </c>
      <c r="S96" s="256">
        <f t="shared" si="71"/>
        <v>0</v>
      </c>
      <c r="T96" s="256">
        <f t="shared" si="71"/>
        <v>0</v>
      </c>
      <c r="U96" s="256">
        <f t="shared" si="71"/>
        <v>0</v>
      </c>
    </row>
    <row r="97" spans="1:21" x14ac:dyDescent="0.3">
      <c r="K97" s="451"/>
      <c r="L97" s="451"/>
      <c r="M97" s="443"/>
      <c r="N97" s="458"/>
      <c r="O97" s="458"/>
      <c r="P97" s="458"/>
      <c r="Q97" s="458"/>
      <c r="R97" s="458"/>
      <c r="S97" s="458"/>
      <c r="T97" s="458"/>
      <c r="U97" s="458"/>
    </row>
    <row r="98" spans="1:21" x14ac:dyDescent="0.3">
      <c r="K98" s="451"/>
      <c r="L98" s="451"/>
      <c r="M98" s="443"/>
      <c r="N98" s="458"/>
      <c r="O98" s="458"/>
      <c r="P98" s="458"/>
      <c r="Q98" s="458"/>
      <c r="R98" s="458"/>
      <c r="S98" s="458"/>
      <c r="T98" s="458"/>
      <c r="U98" s="458"/>
    </row>
    <row r="99" spans="1:21" x14ac:dyDescent="0.3">
      <c r="K99" s="451"/>
      <c r="L99" s="451"/>
      <c r="M99" s="443"/>
      <c r="N99" s="458"/>
      <c r="O99" s="458"/>
      <c r="P99" s="458"/>
      <c r="Q99" s="458"/>
      <c r="R99" s="458"/>
      <c r="S99" s="458"/>
      <c r="T99" s="458"/>
      <c r="U99" s="458"/>
    </row>
    <row r="100" spans="1:21" x14ac:dyDescent="0.3">
      <c r="K100" s="451"/>
      <c r="L100" s="451"/>
      <c r="M100" s="443"/>
      <c r="N100" s="458"/>
      <c r="O100" s="458"/>
      <c r="P100" s="458"/>
      <c r="Q100" s="458"/>
      <c r="R100" s="458"/>
      <c r="S100" s="458"/>
      <c r="T100" s="458"/>
      <c r="U100" s="458"/>
    </row>
    <row r="101" spans="1:21" x14ac:dyDescent="0.3">
      <c r="K101" s="451"/>
      <c r="L101" s="451"/>
      <c r="M101" s="443"/>
      <c r="N101" s="458"/>
      <c r="O101" s="458"/>
      <c r="P101" s="458"/>
      <c r="Q101" s="458"/>
      <c r="R101" s="458"/>
      <c r="S101" s="458"/>
      <c r="T101" s="458"/>
      <c r="U101" s="458"/>
    </row>
    <row r="102" spans="1:21" x14ac:dyDescent="0.3">
      <c r="C102" s="507"/>
      <c r="D102" s="508" t="s">
        <v>793</v>
      </c>
      <c r="E102" s="509"/>
      <c r="J102" s="507"/>
      <c r="K102" s="508" t="s">
        <v>803</v>
      </c>
      <c r="L102" s="509"/>
      <c r="M102" s="452"/>
      <c r="N102" s="487"/>
      <c r="O102" s="488"/>
      <c r="P102" s="488"/>
      <c r="Q102" s="488"/>
      <c r="R102" s="489" t="s">
        <v>136</v>
      </c>
      <c r="S102" s="488"/>
      <c r="T102" s="488"/>
      <c r="U102" s="490"/>
    </row>
    <row r="103" spans="1:21" ht="21" x14ac:dyDescent="0.3">
      <c r="A103" s="491" t="s">
        <v>135</v>
      </c>
      <c r="B103" s="491" t="s">
        <v>143</v>
      </c>
      <c r="C103" s="491" t="s">
        <v>776</v>
      </c>
      <c r="D103" s="491" t="s">
        <v>777</v>
      </c>
      <c r="E103" s="491" t="s">
        <v>157</v>
      </c>
      <c r="F103" s="491" t="s">
        <v>973</v>
      </c>
      <c r="G103" s="491" t="s">
        <v>778</v>
      </c>
      <c r="H103" s="491" t="s">
        <v>779</v>
      </c>
      <c r="I103" s="491" t="s">
        <v>974</v>
      </c>
      <c r="J103" s="491" t="s">
        <v>975</v>
      </c>
      <c r="K103" s="491" t="s">
        <v>976</v>
      </c>
      <c r="L103" s="491" t="s">
        <v>977</v>
      </c>
      <c r="M103" s="492" t="s">
        <v>824</v>
      </c>
      <c r="N103" s="493" t="s">
        <v>137</v>
      </c>
      <c r="O103" s="493" t="s">
        <v>138</v>
      </c>
      <c r="P103" s="493" t="s">
        <v>161</v>
      </c>
      <c r="Q103" s="493" t="s">
        <v>162</v>
      </c>
      <c r="R103" s="493" t="s">
        <v>163</v>
      </c>
      <c r="S103" s="493" t="s">
        <v>164</v>
      </c>
      <c r="T103" s="493" t="s">
        <v>165</v>
      </c>
      <c r="U103" s="493" t="s">
        <v>166</v>
      </c>
    </row>
    <row r="104" spans="1:21" x14ac:dyDescent="0.3">
      <c r="A104" s="505">
        <f>5</f>
        <v>5</v>
      </c>
      <c r="B104" s="495"/>
      <c r="C104" s="495"/>
      <c r="D104" s="495"/>
      <c r="E104" s="495"/>
      <c r="F104" s="496">
        <f t="shared" ref="F104" si="72">(0.5*(4/3*(PI()*((C104*0.5)*(D104*0.5)*E104)))/1000)</f>
        <v>0</v>
      </c>
      <c r="G104" s="497">
        <f t="shared" ref="G104:G113" si="73">IF(B104=1,$D$11,IF(B104=2,$D$12,IF(B104=3,$D$13,IF(B104=4,$D$14,IF(B104=5,$D$15,IF(B104=6,$D$16,IF(B104=7,$D$17,IF(B104=8,$D$18,))))))))</f>
        <v>0</v>
      </c>
      <c r="H104" s="496">
        <f t="shared" ref="H104" si="74">IF(F104&gt;0,(((0.5*(4/3*(PI()*(((0.5*C104)+G104))*(((0.5*D104)+G104))*(E104+G104))))/1000-F104)), 0)</f>
        <v>0</v>
      </c>
      <c r="I104" s="498" t="str">
        <f t="shared" ref="I104:I113" si="75">IF(B104=1,$G$11,IF(B104=2,$G$12,IF(B104=3,$G$13,IF(B104=4,$G$14,IF(B104=5,$G$15,IF(B104=6,$G$16,IF(B104=7,$G$17,IF(B104=8,$G$18,""))))))))</f>
        <v/>
      </c>
      <c r="J104" s="498" t="str">
        <f t="shared" ref="J104:J113" si="76">IFERROR((H104*I104)*365, "")</f>
        <v/>
      </c>
      <c r="K104" s="499" t="str">
        <f t="shared" ref="K104:K113" si="77">IFERROR(J104*(1/$B$6), "")</f>
        <v/>
      </c>
      <c r="L104" s="499" t="str">
        <f t="shared" ref="L104:L113" si="78">IFERROR(K104/1000, "")</f>
        <v/>
      </c>
      <c r="M104" s="500"/>
      <c r="N104" s="498" t="str">
        <f t="shared" ref="N104:N113" si="79">IF(B104=1, L104,"")</f>
        <v/>
      </c>
      <c r="O104" s="498" t="str">
        <f t="shared" ref="O104:O113" si="80">IF(B104=2, L104,"")</f>
        <v/>
      </c>
      <c r="P104" s="498" t="str">
        <f t="shared" ref="P104:P113" si="81">IF(B104=3, L104,"")</f>
        <v/>
      </c>
      <c r="Q104" s="498" t="str">
        <f t="shared" ref="Q104:Q113" si="82">IF(B104=4, L104,"")</f>
        <v/>
      </c>
      <c r="R104" s="498" t="str">
        <f t="shared" ref="R104:R113" si="83">IF(B104=5, L104,"")</f>
        <v/>
      </c>
      <c r="S104" s="498" t="str">
        <f t="shared" ref="S104:S113" si="84">IF(B104=6, L104,"")</f>
        <v/>
      </c>
      <c r="T104" s="498" t="str">
        <f t="shared" ref="T104:T113" si="85">IF(B104=7, L104,"")</f>
        <v/>
      </c>
      <c r="U104" s="501" t="str">
        <f t="shared" ref="U104:U113" si="86">IF(B104=8, L104,"")</f>
        <v/>
      </c>
    </row>
    <row r="105" spans="1:21" x14ac:dyDescent="0.3">
      <c r="A105" s="505">
        <f>5</f>
        <v>5</v>
      </c>
      <c r="B105" s="495"/>
      <c r="C105" s="495"/>
      <c r="D105" s="495"/>
      <c r="E105" s="495"/>
      <c r="F105" s="496">
        <f t="shared" ref="F105:F113" si="87">(0.5*(4/3*(PI()*((C105*0.5)*(D105*0.5)*E105)))/1000)</f>
        <v>0</v>
      </c>
      <c r="G105" s="497">
        <f t="shared" si="73"/>
        <v>0</v>
      </c>
      <c r="H105" s="496">
        <f t="shared" ref="H105:H113" si="88">IF(F105&gt;0,(((0.5*(4/3*(PI()*(((0.5*C105)+G105))*(((0.5*D105)+G105))*(E105+G105))))/1000-F105)), 0)</f>
        <v>0</v>
      </c>
      <c r="I105" s="498" t="str">
        <f t="shared" si="75"/>
        <v/>
      </c>
      <c r="J105" s="498" t="str">
        <f t="shared" si="76"/>
        <v/>
      </c>
      <c r="K105" s="499" t="str">
        <f t="shared" si="77"/>
        <v/>
      </c>
      <c r="L105" s="499" t="str">
        <f t="shared" si="78"/>
        <v/>
      </c>
      <c r="M105" s="500"/>
      <c r="N105" s="498" t="str">
        <f t="shared" si="79"/>
        <v/>
      </c>
      <c r="O105" s="498" t="str">
        <f t="shared" si="80"/>
        <v/>
      </c>
      <c r="P105" s="498" t="str">
        <f t="shared" si="81"/>
        <v/>
      </c>
      <c r="Q105" s="498" t="str">
        <f t="shared" si="82"/>
        <v/>
      </c>
      <c r="R105" s="498" t="str">
        <f t="shared" si="83"/>
        <v/>
      </c>
      <c r="S105" s="498" t="str">
        <f t="shared" si="84"/>
        <v/>
      </c>
      <c r="T105" s="498" t="str">
        <f t="shared" si="85"/>
        <v/>
      </c>
      <c r="U105" s="501" t="str">
        <f t="shared" si="86"/>
        <v/>
      </c>
    </row>
    <row r="106" spans="1:21" x14ac:dyDescent="0.3">
      <c r="A106" s="505">
        <f>5</f>
        <v>5</v>
      </c>
      <c r="B106" s="495"/>
      <c r="C106" s="495"/>
      <c r="D106" s="495"/>
      <c r="E106" s="495"/>
      <c r="F106" s="496">
        <f t="shared" si="87"/>
        <v>0</v>
      </c>
      <c r="G106" s="497">
        <f t="shared" si="73"/>
        <v>0</v>
      </c>
      <c r="H106" s="496">
        <f t="shared" si="88"/>
        <v>0</v>
      </c>
      <c r="I106" s="498" t="str">
        <f t="shared" si="75"/>
        <v/>
      </c>
      <c r="J106" s="498" t="str">
        <f t="shared" si="76"/>
        <v/>
      </c>
      <c r="K106" s="499" t="str">
        <f t="shared" si="77"/>
        <v/>
      </c>
      <c r="L106" s="499" t="str">
        <f t="shared" si="78"/>
        <v/>
      </c>
      <c r="M106" s="500"/>
      <c r="N106" s="498" t="str">
        <f t="shared" si="79"/>
        <v/>
      </c>
      <c r="O106" s="498" t="str">
        <f t="shared" si="80"/>
        <v/>
      </c>
      <c r="P106" s="498" t="str">
        <f t="shared" si="81"/>
        <v/>
      </c>
      <c r="Q106" s="498" t="str">
        <f t="shared" si="82"/>
        <v/>
      </c>
      <c r="R106" s="498" t="str">
        <f t="shared" si="83"/>
        <v/>
      </c>
      <c r="S106" s="498" t="str">
        <f t="shared" si="84"/>
        <v/>
      </c>
      <c r="T106" s="498" t="str">
        <f t="shared" si="85"/>
        <v/>
      </c>
      <c r="U106" s="501" t="str">
        <f t="shared" si="86"/>
        <v/>
      </c>
    </row>
    <row r="107" spans="1:21" x14ac:dyDescent="0.3">
      <c r="A107" s="505">
        <f>5</f>
        <v>5</v>
      </c>
      <c r="B107" s="495"/>
      <c r="C107" s="495"/>
      <c r="D107" s="495"/>
      <c r="E107" s="495"/>
      <c r="F107" s="496">
        <f t="shared" si="87"/>
        <v>0</v>
      </c>
      <c r="G107" s="497">
        <f t="shared" si="73"/>
        <v>0</v>
      </c>
      <c r="H107" s="496">
        <f t="shared" si="88"/>
        <v>0</v>
      </c>
      <c r="I107" s="498" t="str">
        <f t="shared" si="75"/>
        <v/>
      </c>
      <c r="J107" s="498" t="str">
        <f t="shared" si="76"/>
        <v/>
      </c>
      <c r="K107" s="499" t="str">
        <f t="shared" si="77"/>
        <v/>
      </c>
      <c r="L107" s="499" t="str">
        <f t="shared" si="78"/>
        <v/>
      </c>
      <c r="M107" s="500"/>
      <c r="N107" s="498" t="str">
        <f t="shared" si="79"/>
        <v/>
      </c>
      <c r="O107" s="498" t="str">
        <f t="shared" si="80"/>
        <v/>
      </c>
      <c r="P107" s="498" t="str">
        <f t="shared" si="81"/>
        <v/>
      </c>
      <c r="Q107" s="498" t="str">
        <f t="shared" si="82"/>
        <v/>
      </c>
      <c r="R107" s="498" t="str">
        <f t="shared" si="83"/>
        <v/>
      </c>
      <c r="S107" s="498" t="str">
        <f t="shared" si="84"/>
        <v/>
      </c>
      <c r="T107" s="498" t="str">
        <f t="shared" si="85"/>
        <v/>
      </c>
      <c r="U107" s="501" t="str">
        <f t="shared" si="86"/>
        <v/>
      </c>
    </row>
    <row r="108" spans="1:21" x14ac:dyDescent="0.3">
      <c r="A108" s="505">
        <f>5</f>
        <v>5</v>
      </c>
      <c r="B108" s="495"/>
      <c r="C108" s="495"/>
      <c r="D108" s="495"/>
      <c r="E108" s="495"/>
      <c r="F108" s="496">
        <f t="shared" si="87"/>
        <v>0</v>
      </c>
      <c r="G108" s="497">
        <f t="shared" si="73"/>
        <v>0</v>
      </c>
      <c r="H108" s="496">
        <f t="shared" si="88"/>
        <v>0</v>
      </c>
      <c r="I108" s="498" t="str">
        <f t="shared" si="75"/>
        <v/>
      </c>
      <c r="J108" s="498" t="str">
        <f t="shared" si="76"/>
        <v/>
      </c>
      <c r="K108" s="499" t="str">
        <f t="shared" si="77"/>
        <v/>
      </c>
      <c r="L108" s="499" t="str">
        <f t="shared" si="78"/>
        <v/>
      </c>
      <c r="M108" s="500"/>
      <c r="N108" s="498" t="str">
        <f t="shared" si="79"/>
        <v/>
      </c>
      <c r="O108" s="498" t="str">
        <f t="shared" si="80"/>
        <v/>
      </c>
      <c r="P108" s="498" t="str">
        <f t="shared" si="81"/>
        <v/>
      </c>
      <c r="Q108" s="498" t="str">
        <f t="shared" si="82"/>
        <v/>
      </c>
      <c r="R108" s="498" t="str">
        <f t="shared" si="83"/>
        <v/>
      </c>
      <c r="S108" s="498" t="str">
        <f t="shared" si="84"/>
        <v/>
      </c>
      <c r="T108" s="498" t="str">
        <f t="shared" si="85"/>
        <v/>
      </c>
      <c r="U108" s="501" t="str">
        <f t="shared" si="86"/>
        <v/>
      </c>
    </row>
    <row r="109" spans="1:21" x14ac:dyDescent="0.3">
      <c r="A109" s="505">
        <f>5</f>
        <v>5</v>
      </c>
      <c r="B109" s="495"/>
      <c r="C109" s="495"/>
      <c r="D109" s="495"/>
      <c r="E109" s="495"/>
      <c r="F109" s="496">
        <f t="shared" si="87"/>
        <v>0</v>
      </c>
      <c r="G109" s="497">
        <f t="shared" si="73"/>
        <v>0</v>
      </c>
      <c r="H109" s="496">
        <f t="shared" si="88"/>
        <v>0</v>
      </c>
      <c r="I109" s="498" t="str">
        <f t="shared" si="75"/>
        <v/>
      </c>
      <c r="J109" s="498" t="str">
        <f t="shared" si="76"/>
        <v/>
      </c>
      <c r="K109" s="499" t="str">
        <f t="shared" si="77"/>
        <v/>
      </c>
      <c r="L109" s="499" t="str">
        <f t="shared" si="78"/>
        <v/>
      </c>
      <c r="M109" s="500"/>
      <c r="N109" s="498" t="str">
        <f t="shared" si="79"/>
        <v/>
      </c>
      <c r="O109" s="498" t="str">
        <f t="shared" si="80"/>
        <v/>
      </c>
      <c r="P109" s="498" t="str">
        <f t="shared" si="81"/>
        <v/>
      </c>
      <c r="Q109" s="498" t="str">
        <f t="shared" si="82"/>
        <v/>
      </c>
      <c r="R109" s="498" t="str">
        <f t="shared" si="83"/>
        <v/>
      </c>
      <c r="S109" s="498" t="str">
        <f t="shared" si="84"/>
        <v/>
      </c>
      <c r="T109" s="498" t="str">
        <f t="shared" si="85"/>
        <v/>
      </c>
      <c r="U109" s="501" t="str">
        <f t="shared" si="86"/>
        <v/>
      </c>
    </row>
    <row r="110" spans="1:21" x14ac:dyDescent="0.3">
      <c r="A110" s="505">
        <f>5</f>
        <v>5</v>
      </c>
      <c r="B110" s="495"/>
      <c r="C110" s="495"/>
      <c r="D110" s="495"/>
      <c r="E110" s="495"/>
      <c r="F110" s="496">
        <f t="shared" si="87"/>
        <v>0</v>
      </c>
      <c r="G110" s="497">
        <f t="shared" si="73"/>
        <v>0</v>
      </c>
      <c r="H110" s="496">
        <f t="shared" si="88"/>
        <v>0</v>
      </c>
      <c r="I110" s="498" t="str">
        <f t="shared" si="75"/>
        <v/>
      </c>
      <c r="J110" s="498" t="str">
        <f t="shared" si="76"/>
        <v/>
      </c>
      <c r="K110" s="499" t="str">
        <f t="shared" si="77"/>
        <v/>
      </c>
      <c r="L110" s="499" t="str">
        <f t="shared" si="78"/>
        <v/>
      </c>
      <c r="M110" s="500"/>
      <c r="N110" s="498" t="str">
        <f t="shared" si="79"/>
        <v/>
      </c>
      <c r="O110" s="498" t="str">
        <f t="shared" si="80"/>
        <v/>
      </c>
      <c r="P110" s="498" t="str">
        <f t="shared" si="81"/>
        <v/>
      </c>
      <c r="Q110" s="498" t="str">
        <f t="shared" si="82"/>
        <v/>
      </c>
      <c r="R110" s="498" t="str">
        <f t="shared" si="83"/>
        <v/>
      </c>
      <c r="S110" s="498" t="str">
        <f t="shared" si="84"/>
        <v/>
      </c>
      <c r="T110" s="498" t="str">
        <f t="shared" si="85"/>
        <v/>
      </c>
      <c r="U110" s="501" t="str">
        <f t="shared" si="86"/>
        <v/>
      </c>
    </row>
    <row r="111" spans="1:21" x14ac:dyDescent="0.3">
      <c r="A111" s="505">
        <f>5</f>
        <v>5</v>
      </c>
      <c r="B111" s="495"/>
      <c r="C111" s="495"/>
      <c r="D111" s="495"/>
      <c r="E111" s="495"/>
      <c r="F111" s="496">
        <f t="shared" si="87"/>
        <v>0</v>
      </c>
      <c r="G111" s="497">
        <f t="shared" si="73"/>
        <v>0</v>
      </c>
      <c r="H111" s="496">
        <f t="shared" si="88"/>
        <v>0</v>
      </c>
      <c r="I111" s="498" t="str">
        <f t="shared" si="75"/>
        <v/>
      </c>
      <c r="J111" s="498" t="str">
        <f t="shared" si="76"/>
        <v/>
      </c>
      <c r="K111" s="499" t="str">
        <f t="shared" si="77"/>
        <v/>
      </c>
      <c r="L111" s="499" t="str">
        <f t="shared" si="78"/>
        <v/>
      </c>
      <c r="M111" s="500"/>
      <c r="N111" s="498" t="str">
        <f t="shared" si="79"/>
        <v/>
      </c>
      <c r="O111" s="498" t="str">
        <f t="shared" si="80"/>
        <v/>
      </c>
      <c r="P111" s="498" t="str">
        <f t="shared" si="81"/>
        <v/>
      </c>
      <c r="Q111" s="498" t="str">
        <f t="shared" si="82"/>
        <v/>
      </c>
      <c r="R111" s="498" t="str">
        <f t="shared" si="83"/>
        <v/>
      </c>
      <c r="S111" s="498" t="str">
        <f t="shared" si="84"/>
        <v/>
      </c>
      <c r="T111" s="498" t="str">
        <f t="shared" si="85"/>
        <v/>
      </c>
      <c r="U111" s="501" t="str">
        <f t="shared" si="86"/>
        <v/>
      </c>
    </row>
    <row r="112" spans="1:21" x14ac:dyDescent="0.3">
      <c r="A112" s="505">
        <f>5</f>
        <v>5</v>
      </c>
      <c r="B112" s="495"/>
      <c r="C112" s="495"/>
      <c r="D112" s="495"/>
      <c r="E112" s="495"/>
      <c r="F112" s="496">
        <f t="shared" si="87"/>
        <v>0</v>
      </c>
      <c r="G112" s="497">
        <f t="shared" si="73"/>
        <v>0</v>
      </c>
      <c r="H112" s="496">
        <f t="shared" si="88"/>
        <v>0</v>
      </c>
      <c r="I112" s="498" t="str">
        <f t="shared" si="75"/>
        <v/>
      </c>
      <c r="J112" s="498" t="str">
        <f t="shared" si="76"/>
        <v/>
      </c>
      <c r="K112" s="499" t="str">
        <f t="shared" si="77"/>
        <v/>
      </c>
      <c r="L112" s="499" t="str">
        <f t="shared" si="78"/>
        <v/>
      </c>
      <c r="M112" s="500"/>
      <c r="N112" s="498" t="str">
        <f t="shared" si="79"/>
        <v/>
      </c>
      <c r="O112" s="498" t="str">
        <f t="shared" si="80"/>
        <v/>
      </c>
      <c r="P112" s="498" t="str">
        <f t="shared" si="81"/>
        <v/>
      </c>
      <c r="Q112" s="498" t="str">
        <f t="shared" si="82"/>
        <v/>
      </c>
      <c r="R112" s="498" t="str">
        <f t="shared" si="83"/>
        <v/>
      </c>
      <c r="S112" s="498" t="str">
        <f t="shared" si="84"/>
        <v/>
      </c>
      <c r="T112" s="498" t="str">
        <f t="shared" si="85"/>
        <v/>
      </c>
      <c r="U112" s="501" t="str">
        <f t="shared" si="86"/>
        <v/>
      </c>
    </row>
    <row r="113" spans="1:21" x14ac:dyDescent="0.3">
      <c r="A113" s="505">
        <f>5</f>
        <v>5</v>
      </c>
      <c r="B113" s="495"/>
      <c r="C113" s="495"/>
      <c r="D113" s="495"/>
      <c r="E113" s="495"/>
      <c r="F113" s="496">
        <f t="shared" si="87"/>
        <v>0</v>
      </c>
      <c r="G113" s="497">
        <f t="shared" si="73"/>
        <v>0</v>
      </c>
      <c r="H113" s="496">
        <f t="shared" si="88"/>
        <v>0</v>
      </c>
      <c r="I113" s="498" t="str">
        <f t="shared" si="75"/>
        <v/>
      </c>
      <c r="J113" s="498" t="str">
        <f t="shared" si="76"/>
        <v/>
      </c>
      <c r="K113" s="499" t="str">
        <f t="shared" si="77"/>
        <v/>
      </c>
      <c r="L113" s="499" t="str">
        <f t="shared" si="78"/>
        <v/>
      </c>
      <c r="M113" s="500"/>
      <c r="N113" s="498" t="str">
        <f t="shared" si="79"/>
        <v/>
      </c>
      <c r="O113" s="498" t="str">
        <f t="shared" si="80"/>
        <v/>
      </c>
      <c r="P113" s="498" t="str">
        <f t="shared" si="81"/>
        <v/>
      </c>
      <c r="Q113" s="498" t="str">
        <f t="shared" si="82"/>
        <v/>
      </c>
      <c r="R113" s="498" t="str">
        <f t="shared" si="83"/>
        <v/>
      </c>
      <c r="S113" s="498" t="str">
        <f t="shared" si="84"/>
        <v/>
      </c>
      <c r="T113" s="498" t="str">
        <f t="shared" si="85"/>
        <v/>
      </c>
      <c r="U113" s="501" t="str">
        <f t="shared" si="86"/>
        <v/>
      </c>
    </row>
    <row r="114" spans="1:21" x14ac:dyDescent="0.3">
      <c r="B114" s="431" t="s">
        <v>139</v>
      </c>
      <c r="C114" s="253">
        <f>COUNT(B104:B113)</f>
        <v>0</v>
      </c>
      <c r="D114" s="445"/>
      <c r="E114" s="445"/>
      <c r="J114" s="502" t="s">
        <v>104</v>
      </c>
      <c r="K114" s="254" t="str">
        <f>IF($A104&lt;=$B$5,SUM(K104:K113),"")</f>
        <v/>
      </c>
      <c r="L114" s="254" t="str">
        <f>IF($A104&lt;=$B$5,SUM(L104:L113),"")</f>
        <v/>
      </c>
      <c r="M114" s="452"/>
      <c r="N114" s="254">
        <f t="shared" ref="N114:U114" si="89">SUM(N104:N113)</f>
        <v>0</v>
      </c>
      <c r="O114" s="256">
        <f t="shared" si="89"/>
        <v>0</v>
      </c>
      <c r="P114" s="256">
        <f t="shared" si="89"/>
        <v>0</v>
      </c>
      <c r="Q114" s="256">
        <f t="shared" si="89"/>
        <v>0</v>
      </c>
      <c r="R114" s="256">
        <f t="shared" si="89"/>
        <v>0</v>
      </c>
      <c r="S114" s="256">
        <f t="shared" si="89"/>
        <v>0</v>
      </c>
      <c r="T114" s="256">
        <f t="shared" si="89"/>
        <v>0</v>
      </c>
      <c r="U114" s="256">
        <f t="shared" si="89"/>
        <v>0</v>
      </c>
    </row>
    <row r="115" spans="1:21" x14ac:dyDescent="0.3">
      <c r="K115" s="451"/>
      <c r="L115" s="451"/>
      <c r="M115" s="443"/>
      <c r="N115" s="458"/>
      <c r="O115" s="458"/>
      <c r="P115" s="458"/>
      <c r="Q115" s="458"/>
      <c r="R115" s="458"/>
      <c r="S115" s="458"/>
      <c r="T115" s="458"/>
      <c r="U115" s="458"/>
    </row>
    <row r="116" spans="1:21" x14ac:dyDescent="0.3">
      <c r="K116" s="451"/>
      <c r="L116" s="451"/>
      <c r="M116" s="443"/>
      <c r="N116" s="458"/>
      <c r="O116" s="458"/>
      <c r="P116" s="458"/>
      <c r="Q116" s="458"/>
      <c r="R116" s="458"/>
      <c r="S116" s="458"/>
      <c r="T116" s="458"/>
      <c r="U116" s="458"/>
    </row>
    <row r="117" spans="1:21" x14ac:dyDescent="0.3">
      <c r="K117" s="451"/>
      <c r="L117" s="451"/>
      <c r="M117" s="443"/>
      <c r="N117" s="458"/>
      <c r="O117" s="458"/>
      <c r="P117" s="458"/>
      <c r="Q117" s="458"/>
      <c r="R117" s="458"/>
      <c r="S117" s="458"/>
      <c r="T117" s="458"/>
      <c r="U117" s="458"/>
    </row>
    <row r="118" spans="1:21" x14ac:dyDescent="0.3">
      <c r="K118" s="451"/>
      <c r="L118" s="451"/>
      <c r="M118" s="443"/>
      <c r="N118" s="458"/>
      <c r="O118" s="458"/>
      <c r="P118" s="458"/>
      <c r="Q118" s="458"/>
      <c r="R118" s="458"/>
      <c r="S118" s="458"/>
      <c r="T118" s="458"/>
      <c r="U118" s="458"/>
    </row>
    <row r="119" spans="1:21" x14ac:dyDescent="0.3">
      <c r="K119" s="451"/>
      <c r="L119" s="451"/>
      <c r="M119" s="443"/>
      <c r="N119" s="458"/>
      <c r="O119" s="458"/>
      <c r="P119" s="458"/>
      <c r="Q119" s="458"/>
      <c r="R119" s="458"/>
      <c r="S119" s="458"/>
      <c r="T119" s="458"/>
      <c r="U119" s="458"/>
    </row>
    <row r="120" spans="1:21" x14ac:dyDescent="0.3">
      <c r="C120" s="507"/>
      <c r="D120" s="508" t="s">
        <v>793</v>
      </c>
      <c r="E120" s="509"/>
      <c r="J120" s="507"/>
      <c r="K120" s="508" t="s">
        <v>803</v>
      </c>
      <c r="L120" s="509"/>
      <c r="M120" s="452"/>
      <c r="N120" s="487"/>
      <c r="O120" s="488"/>
      <c r="P120" s="488"/>
      <c r="Q120" s="488"/>
      <c r="R120" s="489" t="s">
        <v>136</v>
      </c>
      <c r="S120" s="488"/>
      <c r="T120" s="488"/>
      <c r="U120" s="490"/>
    </row>
    <row r="121" spans="1:21" ht="21" x14ac:dyDescent="0.3">
      <c r="A121" s="491" t="s">
        <v>135</v>
      </c>
      <c r="B121" s="491" t="s">
        <v>143</v>
      </c>
      <c r="C121" s="491" t="s">
        <v>776</v>
      </c>
      <c r="D121" s="491" t="s">
        <v>777</v>
      </c>
      <c r="E121" s="491" t="s">
        <v>157</v>
      </c>
      <c r="F121" s="491" t="s">
        <v>973</v>
      </c>
      <c r="G121" s="491" t="s">
        <v>778</v>
      </c>
      <c r="H121" s="491" t="s">
        <v>779</v>
      </c>
      <c r="I121" s="491" t="s">
        <v>974</v>
      </c>
      <c r="J121" s="491" t="s">
        <v>975</v>
      </c>
      <c r="K121" s="491" t="s">
        <v>976</v>
      </c>
      <c r="L121" s="491" t="s">
        <v>977</v>
      </c>
      <c r="M121" s="492" t="s">
        <v>824</v>
      </c>
      <c r="N121" s="493" t="s">
        <v>137</v>
      </c>
      <c r="O121" s="493" t="s">
        <v>138</v>
      </c>
      <c r="P121" s="493" t="s">
        <v>161</v>
      </c>
      <c r="Q121" s="493" t="s">
        <v>162</v>
      </c>
      <c r="R121" s="493" t="s">
        <v>163</v>
      </c>
      <c r="S121" s="493" t="s">
        <v>164</v>
      </c>
      <c r="T121" s="493" t="s">
        <v>165</v>
      </c>
      <c r="U121" s="493" t="s">
        <v>166</v>
      </c>
    </row>
    <row r="122" spans="1:21" x14ac:dyDescent="0.3">
      <c r="A122" s="505">
        <f>6</f>
        <v>6</v>
      </c>
      <c r="B122" s="495"/>
      <c r="C122" s="495"/>
      <c r="D122" s="495"/>
      <c r="E122" s="495"/>
      <c r="F122" s="496">
        <f t="shared" ref="F122" si="90">(0.5*(4/3*(PI()*((C122*0.5)*(D122*0.5)*E122)))/1000)</f>
        <v>0</v>
      </c>
      <c r="G122" s="497">
        <f t="shared" ref="G122:G131" si="91">IF(B122=1,$D$11,IF(B122=2,$D$12,IF(B122=3,$D$13,IF(B122=4,$D$14,IF(B122=5,$D$15,IF(B122=6,$D$16,IF(B122=7,$D$17,IF(B122=8,$D$18,))))))))</f>
        <v>0</v>
      </c>
      <c r="H122" s="496">
        <f t="shared" ref="H122" si="92">IF(F122&gt;0,(((0.5*(4/3*(PI()*(((0.5*C122)+G122))*(((0.5*D122)+G122))*(E122+G122))))/1000-F122)), 0)</f>
        <v>0</v>
      </c>
      <c r="I122" s="498" t="str">
        <f t="shared" ref="I122:I131" si="93">IF(B122=1,$G$11,IF(B122=2,$G$12,IF(B122=3,$G$13,IF(B122=4,$G$14,IF(B122=5,$G$15,IF(B122=6,$G$16,IF(B122=7,$G$17,IF(B122=8,$G$18,""))))))))</f>
        <v/>
      </c>
      <c r="J122" s="498" t="str">
        <f t="shared" ref="J122:J131" si="94">IFERROR((H122*I122)*365, "")</f>
        <v/>
      </c>
      <c r="K122" s="499" t="str">
        <f t="shared" ref="K122:K131" si="95">IFERROR(J122*(1/$B$6), "")</f>
        <v/>
      </c>
      <c r="L122" s="499" t="str">
        <f t="shared" ref="L122:L131" si="96">IFERROR(K122/1000, "")</f>
        <v/>
      </c>
      <c r="M122" s="500"/>
      <c r="N122" s="498" t="str">
        <f t="shared" ref="N122:N131" si="97">IF(B122=1, L122,"")</f>
        <v/>
      </c>
      <c r="O122" s="498" t="str">
        <f t="shared" ref="O122:O131" si="98">IF(B122=2, L122,"")</f>
        <v/>
      </c>
      <c r="P122" s="498" t="str">
        <f t="shared" ref="P122:P131" si="99">IF(B122=3, L122,"")</f>
        <v/>
      </c>
      <c r="Q122" s="498" t="str">
        <f t="shared" ref="Q122:Q131" si="100">IF(B122=4, L122,"")</f>
        <v/>
      </c>
      <c r="R122" s="498" t="str">
        <f t="shared" ref="R122:R131" si="101">IF(B122=5, L122,"")</f>
        <v/>
      </c>
      <c r="S122" s="498" t="str">
        <f t="shared" ref="S122:S131" si="102">IF(B122=6, L122,"")</f>
        <v/>
      </c>
      <c r="T122" s="498" t="str">
        <f t="shared" ref="T122:T131" si="103">IF(B122=7, L122,"")</f>
        <v/>
      </c>
      <c r="U122" s="501" t="str">
        <f t="shared" ref="U122:U131" si="104">IF(B122=8, L122,"")</f>
        <v/>
      </c>
    </row>
    <row r="123" spans="1:21" x14ac:dyDescent="0.3">
      <c r="A123" s="505">
        <f>6</f>
        <v>6</v>
      </c>
      <c r="B123" s="495"/>
      <c r="C123" s="495"/>
      <c r="D123" s="495"/>
      <c r="E123" s="495"/>
      <c r="F123" s="496">
        <f t="shared" ref="F123:F131" si="105">(0.5*(4/3*(PI()*((C123*0.5)*(D123*0.5)*E123)))/1000)</f>
        <v>0</v>
      </c>
      <c r="G123" s="497">
        <f t="shared" si="91"/>
        <v>0</v>
      </c>
      <c r="H123" s="496">
        <f t="shared" ref="H123:H131" si="106">IF(F123&gt;0,(((0.5*(4/3*(PI()*(((0.5*C123)+G123))*(((0.5*D123)+G123))*(E123+G123))))/1000-F123)), 0)</f>
        <v>0</v>
      </c>
      <c r="I123" s="498" t="str">
        <f t="shared" si="93"/>
        <v/>
      </c>
      <c r="J123" s="498" t="str">
        <f t="shared" si="94"/>
        <v/>
      </c>
      <c r="K123" s="499" t="str">
        <f t="shared" si="95"/>
        <v/>
      </c>
      <c r="L123" s="499" t="str">
        <f t="shared" si="96"/>
        <v/>
      </c>
      <c r="M123" s="500"/>
      <c r="N123" s="498" t="str">
        <f t="shared" si="97"/>
        <v/>
      </c>
      <c r="O123" s="498" t="str">
        <f t="shared" si="98"/>
        <v/>
      </c>
      <c r="P123" s="498" t="str">
        <f t="shared" si="99"/>
        <v/>
      </c>
      <c r="Q123" s="498" t="str">
        <f t="shared" si="100"/>
        <v/>
      </c>
      <c r="R123" s="498" t="str">
        <f t="shared" si="101"/>
        <v/>
      </c>
      <c r="S123" s="498" t="str">
        <f t="shared" si="102"/>
        <v/>
      </c>
      <c r="T123" s="498" t="str">
        <f t="shared" si="103"/>
        <v/>
      </c>
      <c r="U123" s="501" t="str">
        <f t="shared" si="104"/>
        <v/>
      </c>
    </row>
    <row r="124" spans="1:21" ht="16.5" customHeight="1" x14ac:dyDescent="0.3">
      <c r="A124" s="505">
        <f>6</f>
        <v>6</v>
      </c>
      <c r="B124" s="495"/>
      <c r="C124" s="495"/>
      <c r="D124" s="495"/>
      <c r="E124" s="495"/>
      <c r="F124" s="496">
        <f t="shared" si="105"/>
        <v>0</v>
      </c>
      <c r="G124" s="497">
        <f t="shared" si="91"/>
        <v>0</v>
      </c>
      <c r="H124" s="496">
        <f t="shared" si="106"/>
        <v>0</v>
      </c>
      <c r="I124" s="498" t="str">
        <f t="shared" si="93"/>
        <v/>
      </c>
      <c r="J124" s="498" t="str">
        <f t="shared" si="94"/>
        <v/>
      </c>
      <c r="K124" s="499" t="str">
        <f t="shared" si="95"/>
        <v/>
      </c>
      <c r="L124" s="499" t="str">
        <f t="shared" si="96"/>
        <v/>
      </c>
      <c r="M124" s="500"/>
      <c r="N124" s="498" t="str">
        <f t="shared" si="97"/>
        <v/>
      </c>
      <c r="O124" s="498" t="str">
        <f t="shared" si="98"/>
        <v/>
      </c>
      <c r="P124" s="498" t="str">
        <f t="shared" si="99"/>
        <v/>
      </c>
      <c r="Q124" s="498" t="str">
        <f t="shared" si="100"/>
        <v/>
      </c>
      <c r="R124" s="498" t="str">
        <f t="shared" si="101"/>
        <v/>
      </c>
      <c r="S124" s="498" t="str">
        <f t="shared" si="102"/>
        <v/>
      </c>
      <c r="T124" s="498" t="str">
        <f t="shared" si="103"/>
        <v/>
      </c>
      <c r="U124" s="501" t="str">
        <f t="shared" si="104"/>
        <v/>
      </c>
    </row>
    <row r="125" spans="1:21" x14ac:dyDescent="0.3">
      <c r="A125" s="505">
        <f>6</f>
        <v>6</v>
      </c>
      <c r="B125" s="495"/>
      <c r="C125" s="495"/>
      <c r="D125" s="495"/>
      <c r="E125" s="495"/>
      <c r="F125" s="496">
        <f t="shared" si="105"/>
        <v>0</v>
      </c>
      <c r="G125" s="497">
        <f t="shared" si="91"/>
        <v>0</v>
      </c>
      <c r="H125" s="496">
        <f t="shared" si="106"/>
        <v>0</v>
      </c>
      <c r="I125" s="498" t="str">
        <f t="shared" si="93"/>
        <v/>
      </c>
      <c r="J125" s="498" t="str">
        <f t="shared" si="94"/>
        <v/>
      </c>
      <c r="K125" s="499" t="str">
        <f t="shared" si="95"/>
        <v/>
      </c>
      <c r="L125" s="499" t="str">
        <f t="shared" si="96"/>
        <v/>
      </c>
      <c r="M125" s="500"/>
      <c r="N125" s="498" t="str">
        <f t="shared" si="97"/>
        <v/>
      </c>
      <c r="O125" s="498" t="str">
        <f t="shared" si="98"/>
        <v/>
      </c>
      <c r="P125" s="498" t="str">
        <f t="shared" si="99"/>
        <v/>
      </c>
      <c r="Q125" s="498" t="str">
        <f t="shared" si="100"/>
        <v/>
      </c>
      <c r="R125" s="498" t="str">
        <f t="shared" si="101"/>
        <v/>
      </c>
      <c r="S125" s="498" t="str">
        <f t="shared" si="102"/>
        <v/>
      </c>
      <c r="T125" s="498" t="str">
        <f t="shared" si="103"/>
        <v/>
      </c>
      <c r="U125" s="501" t="str">
        <f t="shared" si="104"/>
        <v/>
      </c>
    </row>
    <row r="126" spans="1:21" x14ac:dyDescent="0.3">
      <c r="A126" s="505">
        <f>6</f>
        <v>6</v>
      </c>
      <c r="B126" s="495"/>
      <c r="C126" s="495"/>
      <c r="D126" s="495"/>
      <c r="E126" s="495"/>
      <c r="F126" s="496">
        <f t="shared" si="105"/>
        <v>0</v>
      </c>
      <c r="G126" s="497">
        <f t="shared" si="91"/>
        <v>0</v>
      </c>
      <c r="H126" s="496">
        <f t="shared" si="106"/>
        <v>0</v>
      </c>
      <c r="I126" s="498" t="str">
        <f t="shared" si="93"/>
        <v/>
      </c>
      <c r="J126" s="498" t="str">
        <f t="shared" si="94"/>
        <v/>
      </c>
      <c r="K126" s="499" t="str">
        <f t="shared" si="95"/>
        <v/>
      </c>
      <c r="L126" s="499" t="str">
        <f t="shared" si="96"/>
        <v/>
      </c>
      <c r="M126" s="500"/>
      <c r="N126" s="498" t="str">
        <f t="shared" si="97"/>
        <v/>
      </c>
      <c r="O126" s="498" t="str">
        <f t="shared" si="98"/>
        <v/>
      </c>
      <c r="P126" s="498" t="str">
        <f t="shared" si="99"/>
        <v/>
      </c>
      <c r="Q126" s="498" t="str">
        <f t="shared" si="100"/>
        <v/>
      </c>
      <c r="R126" s="498" t="str">
        <f t="shared" si="101"/>
        <v/>
      </c>
      <c r="S126" s="498" t="str">
        <f t="shared" si="102"/>
        <v/>
      </c>
      <c r="T126" s="498" t="str">
        <f t="shared" si="103"/>
        <v/>
      </c>
      <c r="U126" s="501" t="str">
        <f t="shared" si="104"/>
        <v/>
      </c>
    </row>
    <row r="127" spans="1:21" x14ac:dyDescent="0.3">
      <c r="A127" s="505">
        <f>6</f>
        <v>6</v>
      </c>
      <c r="B127" s="495"/>
      <c r="C127" s="495"/>
      <c r="D127" s="495"/>
      <c r="E127" s="495"/>
      <c r="F127" s="496">
        <f t="shared" si="105"/>
        <v>0</v>
      </c>
      <c r="G127" s="497">
        <f t="shared" si="91"/>
        <v>0</v>
      </c>
      <c r="H127" s="496">
        <f t="shared" si="106"/>
        <v>0</v>
      </c>
      <c r="I127" s="498" t="str">
        <f t="shared" si="93"/>
        <v/>
      </c>
      <c r="J127" s="498" t="str">
        <f t="shared" si="94"/>
        <v/>
      </c>
      <c r="K127" s="499" t="str">
        <f t="shared" si="95"/>
        <v/>
      </c>
      <c r="L127" s="499" t="str">
        <f t="shared" si="96"/>
        <v/>
      </c>
      <c r="M127" s="500"/>
      <c r="N127" s="498" t="str">
        <f t="shared" si="97"/>
        <v/>
      </c>
      <c r="O127" s="498" t="str">
        <f t="shared" si="98"/>
        <v/>
      </c>
      <c r="P127" s="498" t="str">
        <f t="shared" si="99"/>
        <v/>
      </c>
      <c r="Q127" s="498" t="str">
        <f t="shared" si="100"/>
        <v/>
      </c>
      <c r="R127" s="498" t="str">
        <f t="shared" si="101"/>
        <v/>
      </c>
      <c r="S127" s="498" t="str">
        <f t="shared" si="102"/>
        <v/>
      </c>
      <c r="T127" s="498" t="str">
        <f t="shared" si="103"/>
        <v/>
      </c>
      <c r="U127" s="501" t="str">
        <f t="shared" si="104"/>
        <v/>
      </c>
    </row>
    <row r="128" spans="1:21" x14ac:dyDescent="0.3">
      <c r="A128" s="505">
        <f>6</f>
        <v>6</v>
      </c>
      <c r="B128" s="495"/>
      <c r="C128" s="495"/>
      <c r="D128" s="495"/>
      <c r="E128" s="495"/>
      <c r="F128" s="496">
        <f t="shared" si="105"/>
        <v>0</v>
      </c>
      <c r="G128" s="497">
        <f t="shared" si="91"/>
        <v>0</v>
      </c>
      <c r="H128" s="496">
        <f t="shared" si="106"/>
        <v>0</v>
      </c>
      <c r="I128" s="498" t="str">
        <f t="shared" si="93"/>
        <v/>
      </c>
      <c r="J128" s="498" t="str">
        <f t="shared" si="94"/>
        <v/>
      </c>
      <c r="K128" s="499" t="str">
        <f t="shared" si="95"/>
        <v/>
      </c>
      <c r="L128" s="499" t="str">
        <f t="shared" si="96"/>
        <v/>
      </c>
      <c r="M128" s="500"/>
      <c r="N128" s="498" t="str">
        <f t="shared" si="97"/>
        <v/>
      </c>
      <c r="O128" s="498" t="str">
        <f t="shared" si="98"/>
        <v/>
      </c>
      <c r="P128" s="498" t="str">
        <f t="shared" si="99"/>
        <v/>
      </c>
      <c r="Q128" s="498" t="str">
        <f t="shared" si="100"/>
        <v/>
      </c>
      <c r="R128" s="498" t="str">
        <f t="shared" si="101"/>
        <v/>
      </c>
      <c r="S128" s="498" t="str">
        <f t="shared" si="102"/>
        <v/>
      </c>
      <c r="T128" s="498" t="str">
        <f t="shared" si="103"/>
        <v/>
      </c>
      <c r="U128" s="501" t="str">
        <f t="shared" si="104"/>
        <v/>
      </c>
    </row>
    <row r="129" spans="1:21" x14ac:dyDescent="0.3">
      <c r="A129" s="505">
        <f>6</f>
        <v>6</v>
      </c>
      <c r="B129" s="495"/>
      <c r="C129" s="495"/>
      <c r="D129" s="495"/>
      <c r="E129" s="495"/>
      <c r="F129" s="496">
        <f t="shared" si="105"/>
        <v>0</v>
      </c>
      <c r="G129" s="497">
        <f t="shared" si="91"/>
        <v>0</v>
      </c>
      <c r="H129" s="496">
        <f t="shared" si="106"/>
        <v>0</v>
      </c>
      <c r="I129" s="498" t="str">
        <f t="shared" si="93"/>
        <v/>
      </c>
      <c r="J129" s="498" t="str">
        <f t="shared" si="94"/>
        <v/>
      </c>
      <c r="K129" s="499" t="str">
        <f t="shared" si="95"/>
        <v/>
      </c>
      <c r="L129" s="499" t="str">
        <f t="shared" si="96"/>
        <v/>
      </c>
      <c r="M129" s="500"/>
      <c r="N129" s="498" t="str">
        <f t="shared" si="97"/>
        <v/>
      </c>
      <c r="O129" s="498" t="str">
        <f t="shared" si="98"/>
        <v/>
      </c>
      <c r="P129" s="498" t="str">
        <f t="shared" si="99"/>
        <v/>
      </c>
      <c r="Q129" s="498" t="str">
        <f t="shared" si="100"/>
        <v/>
      </c>
      <c r="R129" s="498" t="str">
        <f t="shared" si="101"/>
        <v/>
      </c>
      <c r="S129" s="498" t="str">
        <f t="shared" si="102"/>
        <v/>
      </c>
      <c r="T129" s="498" t="str">
        <f t="shared" si="103"/>
        <v/>
      </c>
      <c r="U129" s="501" t="str">
        <f t="shared" si="104"/>
        <v/>
      </c>
    </row>
    <row r="130" spans="1:21" x14ac:dyDescent="0.3">
      <c r="A130" s="505">
        <f>6</f>
        <v>6</v>
      </c>
      <c r="B130" s="495"/>
      <c r="C130" s="495"/>
      <c r="D130" s="495"/>
      <c r="E130" s="495"/>
      <c r="F130" s="496">
        <f t="shared" si="105"/>
        <v>0</v>
      </c>
      <c r="G130" s="497">
        <f t="shared" si="91"/>
        <v>0</v>
      </c>
      <c r="H130" s="496">
        <f t="shared" si="106"/>
        <v>0</v>
      </c>
      <c r="I130" s="498" t="str">
        <f t="shared" si="93"/>
        <v/>
      </c>
      <c r="J130" s="498" t="str">
        <f t="shared" si="94"/>
        <v/>
      </c>
      <c r="K130" s="499" t="str">
        <f t="shared" si="95"/>
        <v/>
      </c>
      <c r="L130" s="499" t="str">
        <f t="shared" si="96"/>
        <v/>
      </c>
      <c r="M130" s="500"/>
      <c r="N130" s="498" t="str">
        <f t="shared" si="97"/>
        <v/>
      </c>
      <c r="O130" s="498" t="str">
        <f t="shared" si="98"/>
        <v/>
      </c>
      <c r="P130" s="498" t="str">
        <f t="shared" si="99"/>
        <v/>
      </c>
      <c r="Q130" s="498" t="str">
        <f t="shared" si="100"/>
        <v/>
      </c>
      <c r="R130" s="498" t="str">
        <f t="shared" si="101"/>
        <v/>
      </c>
      <c r="S130" s="498" t="str">
        <f t="shared" si="102"/>
        <v/>
      </c>
      <c r="T130" s="498" t="str">
        <f t="shared" si="103"/>
        <v/>
      </c>
      <c r="U130" s="501" t="str">
        <f t="shared" si="104"/>
        <v/>
      </c>
    </row>
    <row r="131" spans="1:21" x14ac:dyDescent="0.3">
      <c r="A131" s="505">
        <f>6</f>
        <v>6</v>
      </c>
      <c r="B131" s="495"/>
      <c r="C131" s="495"/>
      <c r="D131" s="495"/>
      <c r="E131" s="495"/>
      <c r="F131" s="496">
        <f t="shared" si="105"/>
        <v>0</v>
      </c>
      <c r="G131" s="497">
        <f t="shared" si="91"/>
        <v>0</v>
      </c>
      <c r="H131" s="496">
        <f t="shared" si="106"/>
        <v>0</v>
      </c>
      <c r="I131" s="498" t="str">
        <f t="shared" si="93"/>
        <v/>
      </c>
      <c r="J131" s="498" t="str">
        <f t="shared" si="94"/>
        <v/>
      </c>
      <c r="K131" s="499" t="str">
        <f t="shared" si="95"/>
        <v/>
      </c>
      <c r="L131" s="499" t="str">
        <f t="shared" si="96"/>
        <v/>
      </c>
      <c r="M131" s="500"/>
      <c r="N131" s="498" t="str">
        <f t="shared" si="97"/>
        <v/>
      </c>
      <c r="O131" s="498" t="str">
        <f t="shared" si="98"/>
        <v/>
      </c>
      <c r="P131" s="498" t="str">
        <f t="shared" si="99"/>
        <v/>
      </c>
      <c r="Q131" s="498" t="str">
        <f t="shared" si="100"/>
        <v/>
      </c>
      <c r="R131" s="498" t="str">
        <f t="shared" si="101"/>
        <v/>
      </c>
      <c r="S131" s="498" t="str">
        <f t="shared" si="102"/>
        <v/>
      </c>
      <c r="T131" s="498" t="str">
        <f t="shared" si="103"/>
        <v/>
      </c>
      <c r="U131" s="501" t="str">
        <f t="shared" si="104"/>
        <v/>
      </c>
    </row>
    <row r="132" spans="1:21" x14ac:dyDescent="0.3">
      <c r="B132" s="431" t="s">
        <v>139</v>
      </c>
      <c r="C132" s="253">
        <f>COUNT(B122:B131)</f>
        <v>0</v>
      </c>
      <c r="D132" s="445"/>
      <c r="E132" s="445"/>
      <c r="J132" s="502" t="s">
        <v>104</v>
      </c>
      <c r="K132" s="254" t="str">
        <f>IF($A122&lt;=$B$5,SUM(K122:K131),"")</f>
        <v/>
      </c>
      <c r="L132" s="254" t="str">
        <f>IF($A122&lt;=$B$5,SUM(L122:L131),"")</f>
        <v/>
      </c>
      <c r="M132" s="452"/>
      <c r="N132" s="254">
        <f t="shared" ref="N132:U132" si="107">SUM(N122:N131)</f>
        <v>0</v>
      </c>
      <c r="O132" s="256">
        <f t="shared" si="107"/>
        <v>0</v>
      </c>
      <c r="P132" s="256">
        <f t="shared" si="107"/>
        <v>0</v>
      </c>
      <c r="Q132" s="256">
        <f t="shared" si="107"/>
        <v>0</v>
      </c>
      <c r="R132" s="256">
        <f t="shared" si="107"/>
        <v>0</v>
      </c>
      <c r="S132" s="256">
        <f t="shared" si="107"/>
        <v>0</v>
      </c>
      <c r="T132" s="256">
        <f t="shared" si="107"/>
        <v>0</v>
      </c>
      <c r="U132" s="256">
        <f t="shared" si="107"/>
        <v>0</v>
      </c>
    </row>
    <row r="133" spans="1:21" x14ac:dyDescent="0.3">
      <c r="K133" s="451"/>
      <c r="L133" s="451"/>
      <c r="M133" s="443"/>
      <c r="N133" s="458"/>
      <c r="O133" s="458"/>
      <c r="P133" s="458"/>
      <c r="Q133" s="458"/>
      <c r="R133" s="458"/>
      <c r="S133" s="458"/>
      <c r="T133" s="458"/>
      <c r="U133" s="458"/>
    </row>
    <row r="134" spans="1:21" x14ac:dyDescent="0.3">
      <c r="K134" s="451"/>
      <c r="L134" s="451"/>
      <c r="M134" s="443"/>
      <c r="N134" s="458"/>
      <c r="O134" s="458"/>
      <c r="P134" s="458"/>
      <c r="Q134" s="458"/>
      <c r="R134" s="458"/>
      <c r="S134" s="458"/>
      <c r="T134" s="458"/>
      <c r="U134" s="458"/>
    </row>
    <row r="135" spans="1:21" x14ac:dyDescent="0.3">
      <c r="K135" s="451"/>
      <c r="L135" s="451"/>
      <c r="M135" s="443"/>
      <c r="N135" s="458"/>
      <c r="O135" s="458"/>
      <c r="P135" s="458"/>
      <c r="Q135" s="458"/>
      <c r="R135" s="458"/>
      <c r="S135" s="458"/>
      <c r="T135" s="458"/>
      <c r="U135" s="458"/>
    </row>
    <row r="136" spans="1:21" x14ac:dyDescent="0.3">
      <c r="K136" s="451"/>
      <c r="L136" s="451"/>
      <c r="M136" s="443"/>
      <c r="N136" s="458"/>
      <c r="O136" s="458"/>
      <c r="P136" s="458"/>
      <c r="Q136" s="458"/>
      <c r="R136" s="458"/>
      <c r="S136" s="458"/>
      <c r="T136" s="458"/>
      <c r="U136" s="458"/>
    </row>
    <row r="137" spans="1:21" x14ac:dyDescent="0.3">
      <c r="K137" s="451"/>
      <c r="L137" s="451"/>
      <c r="M137" s="443"/>
      <c r="N137" s="458"/>
      <c r="O137" s="458"/>
      <c r="P137" s="458"/>
      <c r="Q137" s="458"/>
      <c r="R137" s="458"/>
      <c r="S137" s="458"/>
      <c r="T137" s="458"/>
      <c r="U137" s="458"/>
    </row>
    <row r="138" spans="1:21" x14ac:dyDescent="0.3">
      <c r="C138" s="507"/>
      <c r="D138" s="508" t="s">
        <v>793</v>
      </c>
      <c r="E138" s="509"/>
      <c r="J138" s="507"/>
      <c r="K138" s="508" t="s">
        <v>803</v>
      </c>
      <c r="L138" s="509"/>
      <c r="M138" s="452"/>
      <c r="N138" s="487"/>
      <c r="O138" s="488"/>
      <c r="P138" s="488"/>
      <c r="Q138" s="488"/>
      <c r="R138" s="489" t="s">
        <v>136</v>
      </c>
      <c r="S138" s="488"/>
      <c r="T138" s="488"/>
      <c r="U138" s="490"/>
    </row>
    <row r="139" spans="1:21" ht="21" x14ac:dyDescent="0.3">
      <c r="A139" s="491" t="s">
        <v>135</v>
      </c>
      <c r="B139" s="491" t="s">
        <v>143</v>
      </c>
      <c r="C139" s="491" t="s">
        <v>776</v>
      </c>
      <c r="D139" s="491" t="s">
        <v>777</v>
      </c>
      <c r="E139" s="491" t="s">
        <v>157</v>
      </c>
      <c r="F139" s="491" t="s">
        <v>973</v>
      </c>
      <c r="G139" s="491" t="s">
        <v>778</v>
      </c>
      <c r="H139" s="491" t="s">
        <v>779</v>
      </c>
      <c r="I139" s="491" t="s">
        <v>974</v>
      </c>
      <c r="J139" s="491" t="s">
        <v>975</v>
      </c>
      <c r="K139" s="491" t="s">
        <v>976</v>
      </c>
      <c r="L139" s="491" t="s">
        <v>977</v>
      </c>
      <c r="M139" s="492" t="s">
        <v>824</v>
      </c>
      <c r="N139" s="493" t="s">
        <v>137</v>
      </c>
      <c r="O139" s="493" t="s">
        <v>138</v>
      </c>
      <c r="P139" s="493" t="s">
        <v>161</v>
      </c>
      <c r="Q139" s="493" t="s">
        <v>162</v>
      </c>
      <c r="R139" s="493" t="s">
        <v>163</v>
      </c>
      <c r="S139" s="493" t="s">
        <v>164</v>
      </c>
      <c r="T139" s="493" t="s">
        <v>165</v>
      </c>
      <c r="U139" s="493" t="s">
        <v>166</v>
      </c>
    </row>
    <row r="140" spans="1:21" x14ac:dyDescent="0.3">
      <c r="A140" s="505">
        <f>7</f>
        <v>7</v>
      </c>
      <c r="B140" s="495"/>
      <c r="C140" s="495"/>
      <c r="D140" s="495"/>
      <c r="E140" s="495"/>
      <c r="F140" s="496">
        <f t="shared" ref="F140" si="108">(0.5*(4/3*(PI()*((C140*0.5)*(D140*0.5)*E140)))/1000)</f>
        <v>0</v>
      </c>
      <c r="G140" s="497">
        <f t="shared" ref="G140:G149" si="109">IF(B140=1,$D$11,IF(B140=2,$D$12,IF(B140=3,$D$13,IF(B140=4,$D$14,IF(B140=5,$D$15,IF(B140=6,$D$16,IF(B140=7,$D$17,IF(B140=8,$D$18,))))))))</f>
        <v>0</v>
      </c>
      <c r="H140" s="496">
        <f t="shared" ref="H140" si="110">IF(F140&gt;0,(((0.5*(4/3*(PI()*(((0.5*C140)+G140))*(((0.5*D140)+G140))*(E140+G140))))/1000-F140)), 0)</f>
        <v>0</v>
      </c>
      <c r="I140" s="498" t="str">
        <f t="shared" ref="I140:I149" si="111">IF(B140=1,$G$11,IF(B140=2,$G$12,IF(B140=3,$G$13,IF(B140=4,$G$14,IF(B140=5,$G$15,IF(B140=6,$G$16,IF(B140=7,$G$17,IF(B140=8,$G$18,""))))))))</f>
        <v/>
      </c>
      <c r="J140" s="498" t="str">
        <f t="shared" ref="J140:J149" si="112">IFERROR((H140*I140)*365, "")</f>
        <v/>
      </c>
      <c r="K140" s="499" t="str">
        <f t="shared" ref="K140:K149" si="113">IFERROR(J140*(1/$B$6), "")</f>
        <v/>
      </c>
      <c r="L140" s="499" t="str">
        <f t="shared" ref="L140:L149" si="114">IFERROR(K140/1000, "")</f>
        <v/>
      </c>
      <c r="M140" s="500"/>
      <c r="N140" s="498" t="str">
        <f t="shared" ref="N140:N149" si="115">IF(B140=1, L140,"")</f>
        <v/>
      </c>
      <c r="O140" s="498" t="str">
        <f t="shared" ref="O140:O149" si="116">IF(B140=2, L140,"")</f>
        <v/>
      </c>
      <c r="P140" s="498" t="str">
        <f t="shared" ref="P140:P149" si="117">IF(B140=3, L140,"")</f>
        <v/>
      </c>
      <c r="Q140" s="498" t="str">
        <f t="shared" ref="Q140:Q149" si="118">IF(B140=4, L140,"")</f>
        <v/>
      </c>
      <c r="R140" s="498" t="str">
        <f t="shared" ref="R140:R149" si="119">IF(B140=5, L140,"")</f>
        <v/>
      </c>
      <c r="S140" s="498" t="str">
        <f t="shared" ref="S140:S149" si="120">IF(B140=6, L140,"")</f>
        <v/>
      </c>
      <c r="T140" s="498" t="str">
        <f t="shared" ref="T140:T149" si="121">IF(B140=7, L140,"")</f>
        <v/>
      </c>
      <c r="U140" s="501" t="str">
        <f t="shared" ref="U140:U149" si="122">IF(B140=8, L140,"")</f>
        <v/>
      </c>
    </row>
    <row r="141" spans="1:21" x14ac:dyDescent="0.3">
      <c r="A141" s="505">
        <f>7</f>
        <v>7</v>
      </c>
      <c r="B141" s="495"/>
      <c r="C141" s="495"/>
      <c r="D141" s="495"/>
      <c r="E141" s="495"/>
      <c r="F141" s="496">
        <f t="shared" ref="F141:F149" si="123">(0.5*(4/3*(PI()*((C141*0.5)*(D141*0.5)*E141)))/1000)</f>
        <v>0</v>
      </c>
      <c r="G141" s="497">
        <f t="shared" si="109"/>
        <v>0</v>
      </c>
      <c r="H141" s="496">
        <f t="shared" ref="H141:H149" si="124">IF(F141&gt;0,(((0.5*(4/3*(PI()*(((0.5*C141)+G141))*(((0.5*D141)+G141))*(E141+G141))))/1000-F141)), 0)</f>
        <v>0</v>
      </c>
      <c r="I141" s="498" t="str">
        <f t="shared" si="111"/>
        <v/>
      </c>
      <c r="J141" s="498" t="str">
        <f t="shared" si="112"/>
        <v/>
      </c>
      <c r="K141" s="499" t="str">
        <f t="shared" si="113"/>
        <v/>
      </c>
      <c r="L141" s="499" t="str">
        <f t="shared" si="114"/>
        <v/>
      </c>
      <c r="M141" s="500"/>
      <c r="N141" s="498" t="str">
        <f t="shared" si="115"/>
        <v/>
      </c>
      <c r="O141" s="498" t="str">
        <f t="shared" si="116"/>
        <v/>
      </c>
      <c r="P141" s="498" t="str">
        <f t="shared" si="117"/>
        <v/>
      </c>
      <c r="Q141" s="498" t="str">
        <f t="shared" si="118"/>
        <v/>
      </c>
      <c r="R141" s="498" t="str">
        <f t="shared" si="119"/>
        <v/>
      </c>
      <c r="S141" s="498" t="str">
        <f t="shared" si="120"/>
        <v/>
      </c>
      <c r="T141" s="498" t="str">
        <f t="shared" si="121"/>
        <v/>
      </c>
      <c r="U141" s="501" t="str">
        <f t="shared" si="122"/>
        <v/>
      </c>
    </row>
    <row r="142" spans="1:21" x14ac:dyDescent="0.3">
      <c r="A142" s="505">
        <f>7</f>
        <v>7</v>
      </c>
      <c r="B142" s="495"/>
      <c r="C142" s="495"/>
      <c r="D142" s="495"/>
      <c r="E142" s="495"/>
      <c r="F142" s="496">
        <f t="shared" si="123"/>
        <v>0</v>
      </c>
      <c r="G142" s="497">
        <f t="shared" si="109"/>
        <v>0</v>
      </c>
      <c r="H142" s="496">
        <f t="shared" si="124"/>
        <v>0</v>
      </c>
      <c r="I142" s="498" t="str">
        <f t="shared" si="111"/>
        <v/>
      </c>
      <c r="J142" s="498" t="str">
        <f t="shared" si="112"/>
        <v/>
      </c>
      <c r="K142" s="499" t="str">
        <f t="shared" si="113"/>
        <v/>
      </c>
      <c r="L142" s="499" t="str">
        <f t="shared" si="114"/>
        <v/>
      </c>
      <c r="M142" s="500"/>
      <c r="N142" s="498" t="str">
        <f t="shared" si="115"/>
        <v/>
      </c>
      <c r="O142" s="498" t="str">
        <f t="shared" si="116"/>
        <v/>
      </c>
      <c r="P142" s="498" t="str">
        <f t="shared" si="117"/>
        <v/>
      </c>
      <c r="Q142" s="498" t="str">
        <f t="shared" si="118"/>
        <v/>
      </c>
      <c r="R142" s="498" t="str">
        <f t="shared" si="119"/>
        <v/>
      </c>
      <c r="S142" s="498" t="str">
        <f t="shared" si="120"/>
        <v/>
      </c>
      <c r="T142" s="498" t="str">
        <f t="shared" si="121"/>
        <v/>
      </c>
      <c r="U142" s="501" t="str">
        <f t="shared" si="122"/>
        <v/>
      </c>
    </row>
    <row r="143" spans="1:21" x14ac:dyDescent="0.3">
      <c r="A143" s="505">
        <f>7</f>
        <v>7</v>
      </c>
      <c r="B143" s="495"/>
      <c r="C143" s="495"/>
      <c r="D143" s="495"/>
      <c r="E143" s="495"/>
      <c r="F143" s="496">
        <f t="shared" si="123"/>
        <v>0</v>
      </c>
      <c r="G143" s="497">
        <f t="shared" si="109"/>
        <v>0</v>
      </c>
      <c r="H143" s="496">
        <f t="shared" si="124"/>
        <v>0</v>
      </c>
      <c r="I143" s="498" t="str">
        <f t="shared" si="111"/>
        <v/>
      </c>
      <c r="J143" s="498" t="str">
        <f t="shared" si="112"/>
        <v/>
      </c>
      <c r="K143" s="499" t="str">
        <f t="shared" si="113"/>
        <v/>
      </c>
      <c r="L143" s="499" t="str">
        <f t="shared" si="114"/>
        <v/>
      </c>
      <c r="M143" s="500"/>
      <c r="N143" s="498" t="str">
        <f t="shared" si="115"/>
        <v/>
      </c>
      <c r="O143" s="498" t="str">
        <f t="shared" si="116"/>
        <v/>
      </c>
      <c r="P143" s="498" t="str">
        <f t="shared" si="117"/>
        <v/>
      </c>
      <c r="Q143" s="498" t="str">
        <f t="shared" si="118"/>
        <v/>
      </c>
      <c r="R143" s="498" t="str">
        <f t="shared" si="119"/>
        <v/>
      </c>
      <c r="S143" s="498" t="str">
        <f t="shared" si="120"/>
        <v/>
      </c>
      <c r="T143" s="498" t="str">
        <f t="shared" si="121"/>
        <v/>
      </c>
      <c r="U143" s="501" t="str">
        <f t="shared" si="122"/>
        <v/>
      </c>
    </row>
    <row r="144" spans="1:21" x14ac:dyDescent="0.3">
      <c r="A144" s="505">
        <f>7</f>
        <v>7</v>
      </c>
      <c r="B144" s="495"/>
      <c r="C144" s="495"/>
      <c r="D144" s="495"/>
      <c r="E144" s="495"/>
      <c r="F144" s="496">
        <f t="shared" si="123"/>
        <v>0</v>
      </c>
      <c r="G144" s="497">
        <f t="shared" si="109"/>
        <v>0</v>
      </c>
      <c r="H144" s="496">
        <f t="shared" si="124"/>
        <v>0</v>
      </c>
      <c r="I144" s="498" t="str">
        <f t="shared" si="111"/>
        <v/>
      </c>
      <c r="J144" s="498" t="str">
        <f t="shared" si="112"/>
        <v/>
      </c>
      <c r="K144" s="499" t="str">
        <f t="shared" si="113"/>
        <v/>
      </c>
      <c r="L144" s="499" t="str">
        <f t="shared" si="114"/>
        <v/>
      </c>
      <c r="M144" s="500"/>
      <c r="N144" s="498" t="str">
        <f t="shared" si="115"/>
        <v/>
      </c>
      <c r="O144" s="498" t="str">
        <f t="shared" si="116"/>
        <v/>
      </c>
      <c r="P144" s="498" t="str">
        <f t="shared" si="117"/>
        <v/>
      </c>
      <c r="Q144" s="498" t="str">
        <f t="shared" si="118"/>
        <v/>
      </c>
      <c r="R144" s="498" t="str">
        <f t="shared" si="119"/>
        <v/>
      </c>
      <c r="S144" s="498" t="str">
        <f t="shared" si="120"/>
        <v/>
      </c>
      <c r="T144" s="498" t="str">
        <f t="shared" si="121"/>
        <v/>
      </c>
      <c r="U144" s="501" t="str">
        <f t="shared" si="122"/>
        <v/>
      </c>
    </row>
    <row r="145" spans="1:21" x14ac:dyDescent="0.3">
      <c r="A145" s="505">
        <f>7</f>
        <v>7</v>
      </c>
      <c r="B145" s="495"/>
      <c r="C145" s="495"/>
      <c r="D145" s="495"/>
      <c r="E145" s="495"/>
      <c r="F145" s="496">
        <f t="shared" si="123"/>
        <v>0</v>
      </c>
      <c r="G145" s="497">
        <f t="shared" si="109"/>
        <v>0</v>
      </c>
      <c r="H145" s="496">
        <f t="shared" si="124"/>
        <v>0</v>
      </c>
      <c r="I145" s="498" t="str">
        <f t="shared" si="111"/>
        <v/>
      </c>
      <c r="J145" s="498" t="str">
        <f t="shared" si="112"/>
        <v/>
      </c>
      <c r="K145" s="499" t="str">
        <f t="shared" si="113"/>
        <v/>
      </c>
      <c r="L145" s="499" t="str">
        <f t="shared" si="114"/>
        <v/>
      </c>
      <c r="M145" s="500"/>
      <c r="N145" s="498" t="str">
        <f t="shared" si="115"/>
        <v/>
      </c>
      <c r="O145" s="498" t="str">
        <f t="shared" si="116"/>
        <v/>
      </c>
      <c r="P145" s="498" t="str">
        <f t="shared" si="117"/>
        <v/>
      </c>
      <c r="Q145" s="498" t="str">
        <f t="shared" si="118"/>
        <v/>
      </c>
      <c r="R145" s="498" t="str">
        <f t="shared" si="119"/>
        <v/>
      </c>
      <c r="S145" s="498" t="str">
        <f t="shared" si="120"/>
        <v/>
      </c>
      <c r="T145" s="498" t="str">
        <f t="shared" si="121"/>
        <v/>
      </c>
      <c r="U145" s="501" t="str">
        <f t="shared" si="122"/>
        <v/>
      </c>
    </row>
    <row r="146" spans="1:21" x14ac:dyDescent="0.3">
      <c r="A146" s="505">
        <f>7</f>
        <v>7</v>
      </c>
      <c r="B146" s="495"/>
      <c r="C146" s="495"/>
      <c r="D146" s="495"/>
      <c r="E146" s="495"/>
      <c r="F146" s="496">
        <f t="shared" si="123"/>
        <v>0</v>
      </c>
      <c r="G146" s="497">
        <f t="shared" si="109"/>
        <v>0</v>
      </c>
      <c r="H146" s="496">
        <f t="shared" si="124"/>
        <v>0</v>
      </c>
      <c r="I146" s="498" t="str">
        <f t="shared" si="111"/>
        <v/>
      </c>
      <c r="J146" s="498" t="str">
        <f t="shared" si="112"/>
        <v/>
      </c>
      <c r="K146" s="499" t="str">
        <f t="shared" si="113"/>
        <v/>
      </c>
      <c r="L146" s="499" t="str">
        <f t="shared" si="114"/>
        <v/>
      </c>
      <c r="M146" s="500"/>
      <c r="N146" s="498" t="str">
        <f t="shared" si="115"/>
        <v/>
      </c>
      <c r="O146" s="498" t="str">
        <f t="shared" si="116"/>
        <v/>
      </c>
      <c r="P146" s="498" t="str">
        <f t="shared" si="117"/>
        <v/>
      </c>
      <c r="Q146" s="498" t="str">
        <f t="shared" si="118"/>
        <v/>
      </c>
      <c r="R146" s="498" t="str">
        <f t="shared" si="119"/>
        <v/>
      </c>
      <c r="S146" s="498" t="str">
        <f t="shared" si="120"/>
        <v/>
      </c>
      <c r="T146" s="498" t="str">
        <f t="shared" si="121"/>
        <v/>
      </c>
      <c r="U146" s="501" t="str">
        <f t="shared" si="122"/>
        <v/>
      </c>
    </row>
    <row r="147" spans="1:21" x14ac:dyDescent="0.3">
      <c r="A147" s="505">
        <f>7</f>
        <v>7</v>
      </c>
      <c r="B147" s="495"/>
      <c r="C147" s="495"/>
      <c r="D147" s="495"/>
      <c r="E147" s="495"/>
      <c r="F147" s="496">
        <f t="shared" si="123"/>
        <v>0</v>
      </c>
      <c r="G147" s="497">
        <f t="shared" si="109"/>
        <v>0</v>
      </c>
      <c r="H147" s="496">
        <f t="shared" si="124"/>
        <v>0</v>
      </c>
      <c r="I147" s="498" t="str">
        <f t="shared" si="111"/>
        <v/>
      </c>
      <c r="J147" s="498" t="str">
        <f t="shared" si="112"/>
        <v/>
      </c>
      <c r="K147" s="499" t="str">
        <f t="shared" si="113"/>
        <v/>
      </c>
      <c r="L147" s="499" t="str">
        <f t="shared" si="114"/>
        <v/>
      </c>
      <c r="M147" s="500"/>
      <c r="N147" s="498" t="str">
        <f t="shared" si="115"/>
        <v/>
      </c>
      <c r="O147" s="498" t="str">
        <f t="shared" si="116"/>
        <v/>
      </c>
      <c r="P147" s="498" t="str">
        <f t="shared" si="117"/>
        <v/>
      </c>
      <c r="Q147" s="498" t="str">
        <f t="shared" si="118"/>
        <v/>
      </c>
      <c r="R147" s="498" t="str">
        <f t="shared" si="119"/>
        <v/>
      </c>
      <c r="S147" s="498" t="str">
        <f t="shared" si="120"/>
        <v/>
      </c>
      <c r="T147" s="498" t="str">
        <f t="shared" si="121"/>
        <v/>
      </c>
      <c r="U147" s="501" t="str">
        <f t="shared" si="122"/>
        <v/>
      </c>
    </row>
    <row r="148" spans="1:21" x14ac:dyDescent="0.3">
      <c r="A148" s="505">
        <f>7</f>
        <v>7</v>
      </c>
      <c r="B148" s="495"/>
      <c r="C148" s="495"/>
      <c r="D148" s="495"/>
      <c r="E148" s="495"/>
      <c r="F148" s="496">
        <f t="shared" si="123"/>
        <v>0</v>
      </c>
      <c r="G148" s="497">
        <f t="shared" si="109"/>
        <v>0</v>
      </c>
      <c r="H148" s="496">
        <f t="shared" si="124"/>
        <v>0</v>
      </c>
      <c r="I148" s="498" t="str">
        <f t="shared" si="111"/>
        <v/>
      </c>
      <c r="J148" s="498" t="str">
        <f t="shared" si="112"/>
        <v/>
      </c>
      <c r="K148" s="499" t="str">
        <f t="shared" si="113"/>
        <v/>
      </c>
      <c r="L148" s="499" t="str">
        <f t="shared" si="114"/>
        <v/>
      </c>
      <c r="M148" s="500"/>
      <c r="N148" s="498" t="str">
        <f t="shared" si="115"/>
        <v/>
      </c>
      <c r="O148" s="498" t="str">
        <f t="shared" si="116"/>
        <v/>
      </c>
      <c r="P148" s="498" t="str">
        <f t="shared" si="117"/>
        <v/>
      </c>
      <c r="Q148" s="498" t="str">
        <f t="shared" si="118"/>
        <v/>
      </c>
      <c r="R148" s="498" t="str">
        <f t="shared" si="119"/>
        <v/>
      </c>
      <c r="S148" s="498" t="str">
        <f t="shared" si="120"/>
        <v/>
      </c>
      <c r="T148" s="498" t="str">
        <f t="shared" si="121"/>
        <v/>
      </c>
      <c r="U148" s="501" t="str">
        <f t="shared" si="122"/>
        <v/>
      </c>
    </row>
    <row r="149" spans="1:21" x14ac:dyDescent="0.3">
      <c r="A149" s="505">
        <f>7</f>
        <v>7</v>
      </c>
      <c r="B149" s="495"/>
      <c r="C149" s="495"/>
      <c r="D149" s="495"/>
      <c r="E149" s="495"/>
      <c r="F149" s="496">
        <f t="shared" si="123"/>
        <v>0</v>
      </c>
      <c r="G149" s="497">
        <f t="shared" si="109"/>
        <v>0</v>
      </c>
      <c r="H149" s="496">
        <f t="shared" si="124"/>
        <v>0</v>
      </c>
      <c r="I149" s="498" t="str">
        <f t="shared" si="111"/>
        <v/>
      </c>
      <c r="J149" s="498" t="str">
        <f t="shared" si="112"/>
        <v/>
      </c>
      <c r="K149" s="499" t="str">
        <f t="shared" si="113"/>
        <v/>
      </c>
      <c r="L149" s="499" t="str">
        <f t="shared" si="114"/>
        <v/>
      </c>
      <c r="M149" s="500"/>
      <c r="N149" s="498" t="str">
        <f t="shared" si="115"/>
        <v/>
      </c>
      <c r="O149" s="498" t="str">
        <f t="shared" si="116"/>
        <v/>
      </c>
      <c r="P149" s="498" t="str">
        <f t="shared" si="117"/>
        <v/>
      </c>
      <c r="Q149" s="498" t="str">
        <f t="shared" si="118"/>
        <v/>
      </c>
      <c r="R149" s="498" t="str">
        <f t="shared" si="119"/>
        <v/>
      </c>
      <c r="S149" s="498" t="str">
        <f t="shared" si="120"/>
        <v/>
      </c>
      <c r="T149" s="498" t="str">
        <f t="shared" si="121"/>
        <v/>
      </c>
      <c r="U149" s="501" t="str">
        <f t="shared" si="122"/>
        <v/>
      </c>
    </row>
    <row r="150" spans="1:21" x14ac:dyDescent="0.3">
      <c r="B150" s="431" t="s">
        <v>139</v>
      </c>
      <c r="C150" s="253">
        <f>COUNT(B140:B149)</f>
        <v>0</v>
      </c>
      <c r="D150" s="445"/>
      <c r="E150" s="445"/>
      <c r="J150" s="502" t="s">
        <v>104</v>
      </c>
      <c r="K150" s="254" t="str">
        <f>IF($A140&lt;=$B$5,SUM(K140:K149),"")</f>
        <v/>
      </c>
      <c r="L150" s="254" t="str">
        <f>IF($A140&lt;=$B$5,SUM(L140:L149),"")</f>
        <v/>
      </c>
      <c r="M150" s="452"/>
      <c r="N150" s="254">
        <f t="shared" ref="N150:U150" si="125">SUM(N140:N149)</f>
        <v>0</v>
      </c>
      <c r="O150" s="256">
        <f t="shared" si="125"/>
        <v>0</v>
      </c>
      <c r="P150" s="256">
        <f t="shared" si="125"/>
        <v>0</v>
      </c>
      <c r="Q150" s="256">
        <f t="shared" si="125"/>
        <v>0</v>
      </c>
      <c r="R150" s="256">
        <f t="shared" si="125"/>
        <v>0</v>
      </c>
      <c r="S150" s="256">
        <f t="shared" si="125"/>
        <v>0</v>
      </c>
      <c r="T150" s="256">
        <f t="shared" si="125"/>
        <v>0</v>
      </c>
      <c r="U150" s="256">
        <f t="shared" si="125"/>
        <v>0</v>
      </c>
    </row>
    <row r="151" spans="1:21" x14ac:dyDescent="0.3">
      <c r="K151" s="451"/>
      <c r="L151" s="451"/>
      <c r="M151" s="443"/>
      <c r="N151" s="458"/>
      <c r="O151" s="458"/>
      <c r="P151" s="458"/>
      <c r="Q151" s="458"/>
      <c r="R151" s="458"/>
      <c r="S151" s="458"/>
      <c r="T151" s="458"/>
      <c r="U151" s="458"/>
    </row>
    <row r="152" spans="1:21" x14ac:dyDescent="0.3">
      <c r="K152" s="451"/>
      <c r="L152" s="451"/>
      <c r="M152" s="443"/>
      <c r="N152" s="458"/>
      <c r="O152" s="458"/>
      <c r="P152" s="458"/>
      <c r="Q152" s="458"/>
      <c r="R152" s="458"/>
      <c r="S152" s="458"/>
      <c r="T152" s="458"/>
      <c r="U152" s="458"/>
    </row>
    <row r="153" spans="1:21" x14ac:dyDescent="0.3">
      <c r="K153" s="451"/>
      <c r="L153" s="451"/>
      <c r="M153" s="443"/>
      <c r="N153" s="458"/>
      <c r="O153" s="458"/>
      <c r="P153" s="458"/>
      <c r="Q153" s="458"/>
      <c r="R153" s="458"/>
      <c r="S153" s="458"/>
      <c r="T153" s="458"/>
      <c r="U153" s="458"/>
    </row>
    <row r="154" spans="1:21" x14ac:dyDescent="0.3">
      <c r="K154" s="451"/>
      <c r="L154" s="451"/>
      <c r="M154" s="443"/>
      <c r="N154" s="458"/>
      <c r="O154" s="458"/>
      <c r="P154" s="458"/>
      <c r="Q154" s="458"/>
      <c r="R154" s="458"/>
      <c r="S154" s="458"/>
      <c r="T154" s="458"/>
      <c r="U154" s="458"/>
    </row>
    <row r="155" spans="1:21" x14ac:dyDescent="0.3">
      <c r="K155" s="451"/>
      <c r="L155" s="451"/>
      <c r="M155" s="443"/>
      <c r="N155" s="458"/>
      <c r="O155" s="458"/>
      <c r="P155" s="458"/>
      <c r="Q155" s="458"/>
      <c r="R155" s="458"/>
      <c r="S155" s="458"/>
      <c r="T155" s="458"/>
      <c r="U155" s="458"/>
    </row>
    <row r="156" spans="1:21" x14ac:dyDescent="0.3">
      <c r="C156" s="507"/>
      <c r="D156" s="508" t="s">
        <v>793</v>
      </c>
      <c r="E156" s="509"/>
      <c r="J156" s="507"/>
      <c r="K156" s="508" t="s">
        <v>803</v>
      </c>
      <c r="L156" s="509"/>
      <c r="M156" s="452"/>
      <c r="N156" s="487"/>
      <c r="O156" s="488"/>
      <c r="P156" s="488"/>
      <c r="Q156" s="488"/>
      <c r="R156" s="489" t="s">
        <v>136</v>
      </c>
      <c r="S156" s="488"/>
      <c r="T156" s="488"/>
      <c r="U156" s="490"/>
    </row>
    <row r="157" spans="1:21" ht="21" x14ac:dyDescent="0.3">
      <c r="A157" s="491" t="s">
        <v>135</v>
      </c>
      <c r="B157" s="491" t="s">
        <v>143</v>
      </c>
      <c r="C157" s="491" t="s">
        <v>776</v>
      </c>
      <c r="D157" s="491" t="s">
        <v>777</v>
      </c>
      <c r="E157" s="491" t="s">
        <v>157</v>
      </c>
      <c r="F157" s="491" t="s">
        <v>973</v>
      </c>
      <c r="G157" s="491" t="s">
        <v>778</v>
      </c>
      <c r="H157" s="491" t="s">
        <v>779</v>
      </c>
      <c r="I157" s="491" t="s">
        <v>974</v>
      </c>
      <c r="J157" s="491" t="s">
        <v>975</v>
      </c>
      <c r="K157" s="491" t="s">
        <v>976</v>
      </c>
      <c r="L157" s="491" t="s">
        <v>977</v>
      </c>
      <c r="M157" s="492" t="s">
        <v>824</v>
      </c>
      <c r="N157" s="493" t="s">
        <v>137</v>
      </c>
      <c r="O157" s="493" t="s">
        <v>138</v>
      </c>
      <c r="P157" s="493" t="s">
        <v>161</v>
      </c>
      <c r="Q157" s="493" t="s">
        <v>162</v>
      </c>
      <c r="R157" s="493" t="s">
        <v>163</v>
      </c>
      <c r="S157" s="493" t="s">
        <v>164</v>
      </c>
      <c r="T157" s="493" t="s">
        <v>165</v>
      </c>
      <c r="U157" s="493" t="s">
        <v>166</v>
      </c>
    </row>
    <row r="158" spans="1:21" x14ac:dyDescent="0.3">
      <c r="A158" s="505">
        <f>8</f>
        <v>8</v>
      </c>
      <c r="B158" s="495"/>
      <c r="C158" s="495"/>
      <c r="D158" s="495"/>
      <c r="E158" s="495"/>
      <c r="F158" s="496">
        <f t="shared" ref="F158" si="126">(0.5*(4/3*(PI()*((C158*0.5)*(D158*0.5)*E158)))/1000)</f>
        <v>0</v>
      </c>
      <c r="G158" s="497">
        <f t="shared" ref="G158:G167" si="127">IF(B158=1,$D$11,IF(B158=2,$D$12,IF(B158=3,$D$13,IF(B158=4,$D$14,IF(B158=5,$D$15,IF(B158=6,$D$16,IF(B158=7,$D$17,IF(B158=8,$D$18,))))))))</f>
        <v>0</v>
      </c>
      <c r="H158" s="496">
        <f t="shared" ref="H158" si="128">IF(F158&gt;0,(((0.5*(4/3*(PI()*(((0.5*C158)+G158))*(((0.5*D158)+G158))*(E158+G158))))/1000-F158)), 0)</f>
        <v>0</v>
      </c>
      <c r="I158" s="498" t="str">
        <f t="shared" ref="I158:I167" si="129">IF(B158=1,$G$11,IF(B158=2,$G$12,IF(B158=3,$G$13,IF(B158=4,$G$14,IF(B158=5,$G$15,IF(B158=6,$G$16,IF(B158=7,$G$17,IF(B158=8,$G$18,""))))))))</f>
        <v/>
      </c>
      <c r="J158" s="498" t="str">
        <f t="shared" ref="J158:J167" si="130">IFERROR((H158*I158)*365, "")</f>
        <v/>
      </c>
      <c r="K158" s="499" t="str">
        <f t="shared" ref="K158:K167" si="131">IFERROR(J158*(1/$B$6), "")</f>
        <v/>
      </c>
      <c r="L158" s="499" t="str">
        <f t="shared" ref="L158:L167" si="132">IFERROR(K158/1000, "")</f>
        <v/>
      </c>
      <c r="M158" s="500"/>
      <c r="N158" s="498" t="str">
        <f t="shared" ref="N158:N167" si="133">IF(B158=1, L158,"")</f>
        <v/>
      </c>
      <c r="O158" s="498" t="str">
        <f t="shared" ref="O158:O167" si="134">IF(B158=2, L158,"")</f>
        <v/>
      </c>
      <c r="P158" s="498" t="str">
        <f t="shared" ref="P158:P167" si="135">IF(B158=3, L158,"")</f>
        <v/>
      </c>
      <c r="Q158" s="498" t="str">
        <f t="shared" ref="Q158:Q167" si="136">IF(B158=4, L158,"")</f>
        <v/>
      </c>
      <c r="R158" s="498" t="str">
        <f t="shared" ref="R158:R167" si="137">IF(B158=5, L158,"")</f>
        <v/>
      </c>
      <c r="S158" s="498" t="str">
        <f t="shared" ref="S158:S167" si="138">IF(B158=6, L158,"")</f>
        <v/>
      </c>
      <c r="T158" s="498" t="str">
        <f t="shared" ref="T158:T167" si="139">IF(B158=7, L158,"")</f>
        <v/>
      </c>
      <c r="U158" s="501" t="str">
        <f t="shared" ref="U158:U167" si="140">IF(B158=8, L158,"")</f>
        <v/>
      </c>
    </row>
    <row r="159" spans="1:21" x14ac:dyDescent="0.3">
      <c r="A159" s="505">
        <f>8</f>
        <v>8</v>
      </c>
      <c r="B159" s="495"/>
      <c r="C159" s="495"/>
      <c r="D159" s="495"/>
      <c r="E159" s="495"/>
      <c r="F159" s="496">
        <f t="shared" ref="F159:F167" si="141">(0.5*(4/3*(PI()*((C159*0.5)*(D159*0.5)*E159)))/1000)</f>
        <v>0</v>
      </c>
      <c r="G159" s="497">
        <f t="shared" si="127"/>
        <v>0</v>
      </c>
      <c r="H159" s="496">
        <f t="shared" ref="H159:H167" si="142">IF(F159&gt;0,(((0.5*(4/3*(PI()*(((0.5*C159)+G159))*(((0.5*D159)+G159))*(E159+G159))))/1000-F159)), 0)</f>
        <v>0</v>
      </c>
      <c r="I159" s="498" t="str">
        <f t="shared" si="129"/>
        <v/>
      </c>
      <c r="J159" s="498" t="str">
        <f t="shared" si="130"/>
        <v/>
      </c>
      <c r="K159" s="499" t="str">
        <f t="shared" si="131"/>
        <v/>
      </c>
      <c r="L159" s="499" t="str">
        <f t="shared" si="132"/>
        <v/>
      </c>
      <c r="M159" s="500"/>
      <c r="N159" s="498" t="str">
        <f t="shared" si="133"/>
        <v/>
      </c>
      <c r="O159" s="498" t="str">
        <f t="shared" si="134"/>
        <v/>
      </c>
      <c r="P159" s="498" t="str">
        <f t="shared" si="135"/>
        <v/>
      </c>
      <c r="Q159" s="498" t="str">
        <f t="shared" si="136"/>
        <v/>
      </c>
      <c r="R159" s="498" t="str">
        <f t="shared" si="137"/>
        <v/>
      </c>
      <c r="S159" s="498" t="str">
        <f t="shared" si="138"/>
        <v/>
      </c>
      <c r="T159" s="498" t="str">
        <f t="shared" si="139"/>
        <v/>
      </c>
      <c r="U159" s="501" t="str">
        <f t="shared" si="140"/>
        <v/>
      </c>
    </row>
    <row r="160" spans="1:21" x14ac:dyDescent="0.3">
      <c r="A160" s="505">
        <f>8</f>
        <v>8</v>
      </c>
      <c r="B160" s="495"/>
      <c r="C160" s="495"/>
      <c r="D160" s="495"/>
      <c r="E160" s="495"/>
      <c r="F160" s="496">
        <f t="shared" si="141"/>
        <v>0</v>
      </c>
      <c r="G160" s="497">
        <f t="shared" si="127"/>
        <v>0</v>
      </c>
      <c r="H160" s="496">
        <f t="shared" si="142"/>
        <v>0</v>
      </c>
      <c r="I160" s="498" t="str">
        <f t="shared" si="129"/>
        <v/>
      </c>
      <c r="J160" s="498" t="str">
        <f t="shared" si="130"/>
        <v/>
      </c>
      <c r="K160" s="499" t="str">
        <f t="shared" si="131"/>
        <v/>
      </c>
      <c r="L160" s="499" t="str">
        <f t="shared" si="132"/>
        <v/>
      </c>
      <c r="M160" s="500"/>
      <c r="N160" s="498" t="str">
        <f t="shared" si="133"/>
        <v/>
      </c>
      <c r="O160" s="498" t="str">
        <f t="shared" si="134"/>
        <v/>
      </c>
      <c r="P160" s="498" t="str">
        <f t="shared" si="135"/>
        <v/>
      </c>
      <c r="Q160" s="498" t="str">
        <f t="shared" si="136"/>
        <v/>
      </c>
      <c r="R160" s="498" t="str">
        <f t="shared" si="137"/>
        <v/>
      </c>
      <c r="S160" s="498" t="str">
        <f t="shared" si="138"/>
        <v/>
      </c>
      <c r="T160" s="498" t="str">
        <f t="shared" si="139"/>
        <v/>
      </c>
      <c r="U160" s="501" t="str">
        <f t="shared" si="140"/>
        <v/>
      </c>
    </row>
    <row r="161" spans="1:21" x14ac:dyDescent="0.3">
      <c r="A161" s="505">
        <f>8</f>
        <v>8</v>
      </c>
      <c r="B161" s="495"/>
      <c r="C161" s="495"/>
      <c r="D161" s="495"/>
      <c r="E161" s="495"/>
      <c r="F161" s="496">
        <f t="shared" si="141"/>
        <v>0</v>
      </c>
      <c r="G161" s="497">
        <f t="shared" si="127"/>
        <v>0</v>
      </c>
      <c r="H161" s="496">
        <f t="shared" si="142"/>
        <v>0</v>
      </c>
      <c r="I161" s="498" t="str">
        <f t="shared" si="129"/>
        <v/>
      </c>
      <c r="J161" s="498" t="str">
        <f t="shared" si="130"/>
        <v/>
      </c>
      <c r="K161" s="499" t="str">
        <f t="shared" si="131"/>
        <v/>
      </c>
      <c r="L161" s="499" t="str">
        <f t="shared" si="132"/>
        <v/>
      </c>
      <c r="M161" s="500"/>
      <c r="N161" s="498" t="str">
        <f t="shared" si="133"/>
        <v/>
      </c>
      <c r="O161" s="498" t="str">
        <f t="shared" si="134"/>
        <v/>
      </c>
      <c r="P161" s="498" t="str">
        <f t="shared" si="135"/>
        <v/>
      </c>
      <c r="Q161" s="498" t="str">
        <f t="shared" si="136"/>
        <v/>
      </c>
      <c r="R161" s="498" t="str">
        <f t="shared" si="137"/>
        <v/>
      </c>
      <c r="S161" s="498" t="str">
        <f t="shared" si="138"/>
        <v/>
      </c>
      <c r="T161" s="498" t="str">
        <f t="shared" si="139"/>
        <v/>
      </c>
      <c r="U161" s="501" t="str">
        <f t="shared" si="140"/>
        <v/>
      </c>
    </row>
    <row r="162" spans="1:21" x14ac:dyDescent="0.3">
      <c r="A162" s="505">
        <f>8</f>
        <v>8</v>
      </c>
      <c r="B162" s="495"/>
      <c r="C162" s="495"/>
      <c r="D162" s="495"/>
      <c r="E162" s="495"/>
      <c r="F162" s="496">
        <f t="shared" si="141"/>
        <v>0</v>
      </c>
      <c r="G162" s="497">
        <f t="shared" si="127"/>
        <v>0</v>
      </c>
      <c r="H162" s="496">
        <f t="shared" si="142"/>
        <v>0</v>
      </c>
      <c r="I162" s="498" t="str">
        <f t="shared" si="129"/>
        <v/>
      </c>
      <c r="J162" s="498" t="str">
        <f t="shared" si="130"/>
        <v/>
      </c>
      <c r="K162" s="499" t="str">
        <f t="shared" si="131"/>
        <v/>
      </c>
      <c r="L162" s="499" t="str">
        <f t="shared" si="132"/>
        <v/>
      </c>
      <c r="M162" s="500"/>
      <c r="N162" s="498" t="str">
        <f t="shared" si="133"/>
        <v/>
      </c>
      <c r="O162" s="498" t="str">
        <f t="shared" si="134"/>
        <v/>
      </c>
      <c r="P162" s="498" t="str">
        <f t="shared" si="135"/>
        <v/>
      </c>
      <c r="Q162" s="498" t="str">
        <f t="shared" si="136"/>
        <v/>
      </c>
      <c r="R162" s="498" t="str">
        <f t="shared" si="137"/>
        <v/>
      </c>
      <c r="S162" s="498" t="str">
        <f t="shared" si="138"/>
        <v/>
      </c>
      <c r="T162" s="498" t="str">
        <f t="shared" si="139"/>
        <v/>
      </c>
      <c r="U162" s="501" t="str">
        <f t="shared" si="140"/>
        <v/>
      </c>
    </row>
    <row r="163" spans="1:21" x14ac:dyDescent="0.3">
      <c r="A163" s="505">
        <f>8</f>
        <v>8</v>
      </c>
      <c r="B163" s="495"/>
      <c r="C163" s="495"/>
      <c r="D163" s="495"/>
      <c r="E163" s="495"/>
      <c r="F163" s="496">
        <f t="shared" si="141"/>
        <v>0</v>
      </c>
      <c r="G163" s="497">
        <f t="shared" si="127"/>
        <v>0</v>
      </c>
      <c r="H163" s="496">
        <f t="shared" si="142"/>
        <v>0</v>
      </c>
      <c r="I163" s="498" t="str">
        <f t="shared" si="129"/>
        <v/>
      </c>
      <c r="J163" s="498" t="str">
        <f t="shared" si="130"/>
        <v/>
      </c>
      <c r="K163" s="499" t="str">
        <f t="shared" si="131"/>
        <v/>
      </c>
      <c r="L163" s="499" t="str">
        <f t="shared" si="132"/>
        <v/>
      </c>
      <c r="M163" s="500"/>
      <c r="N163" s="498" t="str">
        <f t="shared" si="133"/>
        <v/>
      </c>
      <c r="O163" s="498" t="str">
        <f t="shared" si="134"/>
        <v/>
      </c>
      <c r="P163" s="498" t="str">
        <f t="shared" si="135"/>
        <v/>
      </c>
      <c r="Q163" s="498" t="str">
        <f t="shared" si="136"/>
        <v/>
      </c>
      <c r="R163" s="498" t="str">
        <f t="shared" si="137"/>
        <v/>
      </c>
      <c r="S163" s="498" t="str">
        <f t="shared" si="138"/>
        <v/>
      </c>
      <c r="T163" s="498" t="str">
        <f t="shared" si="139"/>
        <v/>
      </c>
      <c r="U163" s="501" t="str">
        <f t="shared" si="140"/>
        <v/>
      </c>
    </row>
    <row r="164" spans="1:21" x14ac:dyDescent="0.3">
      <c r="A164" s="505">
        <f>8</f>
        <v>8</v>
      </c>
      <c r="B164" s="495"/>
      <c r="C164" s="495"/>
      <c r="D164" s="495"/>
      <c r="E164" s="495"/>
      <c r="F164" s="496">
        <f t="shared" si="141"/>
        <v>0</v>
      </c>
      <c r="G164" s="497">
        <f t="shared" si="127"/>
        <v>0</v>
      </c>
      <c r="H164" s="496">
        <f t="shared" si="142"/>
        <v>0</v>
      </c>
      <c r="I164" s="498" t="str">
        <f t="shared" si="129"/>
        <v/>
      </c>
      <c r="J164" s="498" t="str">
        <f t="shared" si="130"/>
        <v/>
      </c>
      <c r="K164" s="499" t="str">
        <f t="shared" si="131"/>
        <v/>
      </c>
      <c r="L164" s="499" t="str">
        <f t="shared" si="132"/>
        <v/>
      </c>
      <c r="M164" s="500"/>
      <c r="N164" s="498" t="str">
        <f t="shared" si="133"/>
        <v/>
      </c>
      <c r="O164" s="498" t="str">
        <f t="shared" si="134"/>
        <v/>
      </c>
      <c r="P164" s="498" t="str">
        <f t="shared" si="135"/>
        <v/>
      </c>
      <c r="Q164" s="498" t="str">
        <f t="shared" si="136"/>
        <v/>
      </c>
      <c r="R164" s="498" t="str">
        <f t="shared" si="137"/>
        <v/>
      </c>
      <c r="S164" s="498" t="str">
        <f t="shared" si="138"/>
        <v/>
      </c>
      <c r="T164" s="498" t="str">
        <f t="shared" si="139"/>
        <v/>
      </c>
      <c r="U164" s="501" t="str">
        <f t="shared" si="140"/>
        <v/>
      </c>
    </row>
    <row r="165" spans="1:21" x14ac:dyDescent="0.3">
      <c r="A165" s="505">
        <f>8</f>
        <v>8</v>
      </c>
      <c r="B165" s="495"/>
      <c r="C165" s="495"/>
      <c r="D165" s="495"/>
      <c r="E165" s="495"/>
      <c r="F165" s="496">
        <f t="shared" si="141"/>
        <v>0</v>
      </c>
      <c r="G165" s="497">
        <f t="shared" si="127"/>
        <v>0</v>
      </c>
      <c r="H165" s="496">
        <f t="shared" si="142"/>
        <v>0</v>
      </c>
      <c r="I165" s="498" t="str">
        <f t="shared" si="129"/>
        <v/>
      </c>
      <c r="J165" s="498" t="str">
        <f t="shared" si="130"/>
        <v/>
      </c>
      <c r="K165" s="499" t="str">
        <f t="shared" si="131"/>
        <v/>
      </c>
      <c r="L165" s="499" t="str">
        <f t="shared" si="132"/>
        <v/>
      </c>
      <c r="M165" s="500"/>
      <c r="N165" s="498" t="str">
        <f t="shared" si="133"/>
        <v/>
      </c>
      <c r="O165" s="498" t="str">
        <f t="shared" si="134"/>
        <v/>
      </c>
      <c r="P165" s="498" t="str">
        <f t="shared" si="135"/>
        <v/>
      </c>
      <c r="Q165" s="498" t="str">
        <f t="shared" si="136"/>
        <v/>
      </c>
      <c r="R165" s="498" t="str">
        <f t="shared" si="137"/>
        <v/>
      </c>
      <c r="S165" s="498" t="str">
        <f t="shared" si="138"/>
        <v/>
      </c>
      <c r="T165" s="498" t="str">
        <f t="shared" si="139"/>
        <v/>
      </c>
      <c r="U165" s="501" t="str">
        <f t="shared" si="140"/>
        <v/>
      </c>
    </row>
    <row r="166" spans="1:21" x14ac:dyDescent="0.3">
      <c r="A166" s="505">
        <f>8</f>
        <v>8</v>
      </c>
      <c r="B166" s="495"/>
      <c r="C166" s="495"/>
      <c r="D166" s="495"/>
      <c r="E166" s="495"/>
      <c r="F166" s="496">
        <f t="shared" si="141"/>
        <v>0</v>
      </c>
      <c r="G166" s="497">
        <f t="shared" si="127"/>
        <v>0</v>
      </c>
      <c r="H166" s="496">
        <f t="shared" si="142"/>
        <v>0</v>
      </c>
      <c r="I166" s="498" t="str">
        <f t="shared" si="129"/>
        <v/>
      </c>
      <c r="J166" s="498" t="str">
        <f t="shared" si="130"/>
        <v/>
      </c>
      <c r="K166" s="499" t="str">
        <f t="shared" si="131"/>
        <v/>
      </c>
      <c r="L166" s="499" t="str">
        <f t="shared" si="132"/>
        <v/>
      </c>
      <c r="M166" s="500"/>
      <c r="N166" s="498" t="str">
        <f t="shared" si="133"/>
        <v/>
      </c>
      <c r="O166" s="498" t="str">
        <f t="shared" si="134"/>
        <v/>
      </c>
      <c r="P166" s="498" t="str">
        <f t="shared" si="135"/>
        <v/>
      </c>
      <c r="Q166" s="498" t="str">
        <f t="shared" si="136"/>
        <v/>
      </c>
      <c r="R166" s="498" t="str">
        <f t="shared" si="137"/>
        <v/>
      </c>
      <c r="S166" s="498" t="str">
        <f t="shared" si="138"/>
        <v/>
      </c>
      <c r="T166" s="498" t="str">
        <f t="shared" si="139"/>
        <v/>
      </c>
      <c r="U166" s="501" t="str">
        <f t="shared" si="140"/>
        <v/>
      </c>
    </row>
    <row r="167" spans="1:21" x14ac:dyDescent="0.3">
      <c r="A167" s="505">
        <f>8</f>
        <v>8</v>
      </c>
      <c r="B167" s="495"/>
      <c r="C167" s="495"/>
      <c r="D167" s="495"/>
      <c r="E167" s="495"/>
      <c r="F167" s="496">
        <f t="shared" si="141"/>
        <v>0</v>
      </c>
      <c r="G167" s="497">
        <f t="shared" si="127"/>
        <v>0</v>
      </c>
      <c r="H167" s="496">
        <f t="shared" si="142"/>
        <v>0</v>
      </c>
      <c r="I167" s="498" t="str">
        <f t="shared" si="129"/>
        <v/>
      </c>
      <c r="J167" s="498" t="str">
        <f t="shared" si="130"/>
        <v/>
      </c>
      <c r="K167" s="499" t="str">
        <f t="shared" si="131"/>
        <v/>
      </c>
      <c r="L167" s="499" t="str">
        <f t="shared" si="132"/>
        <v/>
      </c>
      <c r="M167" s="500"/>
      <c r="N167" s="498" t="str">
        <f t="shared" si="133"/>
        <v/>
      </c>
      <c r="O167" s="498" t="str">
        <f t="shared" si="134"/>
        <v/>
      </c>
      <c r="P167" s="498" t="str">
        <f t="shared" si="135"/>
        <v/>
      </c>
      <c r="Q167" s="498" t="str">
        <f t="shared" si="136"/>
        <v/>
      </c>
      <c r="R167" s="498" t="str">
        <f t="shared" si="137"/>
        <v/>
      </c>
      <c r="S167" s="498" t="str">
        <f t="shared" si="138"/>
        <v/>
      </c>
      <c r="T167" s="498" t="str">
        <f t="shared" si="139"/>
        <v/>
      </c>
      <c r="U167" s="501" t="str">
        <f t="shared" si="140"/>
        <v/>
      </c>
    </row>
    <row r="168" spans="1:21" x14ac:dyDescent="0.3">
      <c r="B168" s="431" t="s">
        <v>139</v>
      </c>
      <c r="C168" s="253">
        <f>COUNT(B158:B167)</f>
        <v>0</v>
      </c>
      <c r="D168" s="445"/>
      <c r="E168" s="445"/>
      <c r="J168" s="502" t="s">
        <v>104</v>
      </c>
      <c r="K168" s="254" t="str">
        <f>IF($A158&lt;=$B$5,SUM(K158:K167),"")</f>
        <v/>
      </c>
      <c r="L168" s="254" t="str">
        <f>IF($A158&lt;=$B$5,SUM(L158:L167),"")</f>
        <v/>
      </c>
      <c r="M168" s="452"/>
      <c r="N168" s="254">
        <f t="shared" ref="N168:U168" si="143">SUM(N158:N167)</f>
        <v>0</v>
      </c>
      <c r="O168" s="256">
        <f t="shared" si="143"/>
        <v>0</v>
      </c>
      <c r="P168" s="256">
        <f t="shared" si="143"/>
        <v>0</v>
      </c>
      <c r="Q168" s="256">
        <f t="shared" si="143"/>
        <v>0</v>
      </c>
      <c r="R168" s="256">
        <f t="shared" si="143"/>
        <v>0</v>
      </c>
      <c r="S168" s="256">
        <f t="shared" si="143"/>
        <v>0</v>
      </c>
      <c r="T168" s="256">
        <f t="shared" si="143"/>
        <v>0</v>
      </c>
      <c r="U168" s="256">
        <f t="shared" si="143"/>
        <v>0</v>
      </c>
    </row>
    <row r="169" spans="1:21" x14ac:dyDescent="0.3">
      <c r="K169" s="451"/>
      <c r="L169" s="451"/>
      <c r="M169" s="443"/>
      <c r="N169" s="458"/>
      <c r="O169" s="458"/>
      <c r="P169" s="458"/>
      <c r="Q169" s="458"/>
      <c r="R169" s="458"/>
      <c r="S169" s="458"/>
      <c r="T169" s="458"/>
      <c r="U169" s="458"/>
    </row>
    <row r="170" spans="1:21" x14ac:dyDescent="0.3">
      <c r="K170" s="451"/>
      <c r="L170" s="451"/>
      <c r="M170" s="443"/>
      <c r="N170" s="458"/>
      <c r="O170" s="458"/>
      <c r="P170" s="458"/>
      <c r="Q170" s="458"/>
      <c r="R170" s="458"/>
      <c r="S170" s="458"/>
      <c r="T170" s="458"/>
      <c r="U170" s="458"/>
    </row>
    <row r="171" spans="1:21" x14ac:dyDescent="0.3">
      <c r="K171" s="451"/>
      <c r="L171" s="451"/>
      <c r="M171" s="443"/>
      <c r="N171" s="458"/>
      <c r="O171" s="458"/>
      <c r="P171" s="458"/>
      <c r="Q171" s="458"/>
      <c r="R171" s="458"/>
      <c r="S171" s="458"/>
      <c r="T171" s="458"/>
      <c r="U171" s="458"/>
    </row>
    <row r="172" spans="1:21" x14ac:dyDescent="0.3">
      <c r="K172" s="451"/>
      <c r="L172" s="451"/>
      <c r="M172" s="443"/>
      <c r="N172" s="458"/>
      <c r="O172" s="458"/>
      <c r="P172" s="458"/>
      <c r="Q172" s="458"/>
      <c r="R172" s="458"/>
      <c r="S172" s="458"/>
      <c r="T172" s="458"/>
      <c r="U172" s="458"/>
    </row>
    <row r="173" spans="1:21" x14ac:dyDescent="0.3">
      <c r="K173" s="451"/>
      <c r="L173" s="451"/>
      <c r="M173" s="443"/>
      <c r="N173" s="458"/>
      <c r="O173" s="458"/>
      <c r="P173" s="458"/>
      <c r="Q173" s="458"/>
      <c r="R173" s="458"/>
      <c r="S173" s="458"/>
      <c r="T173" s="458"/>
      <c r="U173" s="458"/>
    </row>
    <row r="174" spans="1:21" x14ac:dyDescent="0.3">
      <c r="C174" s="507"/>
      <c r="D174" s="508" t="s">
        <v>793</v>
      </c>
      <c r="E174" s="509"/>
      <c r="J174" s="507"/>
      <c r="K174" s="508" t="s">
        <v>803</v>
      </c>
      <c r="L174" s="509"/>
      <c r="M174" s="452"/>
      <c r="N174" s="487"/>
      <c r="O174" s="488"/>
      <c r="P174" s="488"/>
      <c r="Q174" s="488"/>
      <c r="R174" s="489" t="s">
        <v>136</v>
      </c>
      <c r="S174" s="488"/>
      <c r="T174" s="488"/>
      <c r="U174" s="490"/>
    </row>
    <row r="175" spans="1:21" ht="21" x14ac:dyDescent="0.3">
      <c r="A175" s="491" t="s">
        <v>135</v>
      </c>
      <c r="B175" s="491" t="s">
        <v>143</v>
      </c>
      <c r="C175" s="491" t="s">
        <v>776</v>
      </c>
      <c r="D175" s="491" t="s">
        <v>777</v>
      </c>
      <c r="E175" s="491" t="s">
        <v>157</v>
      </c>
      <c r="F175" s="491" t="s">
        <v>973</v>
      </c>
      <c r="G175" s="491" t="s">
        <v>778</v>
      </c>
      <c r="H175" s="491" t="s">
        <v>779</v>
      </c>
      <c r="I175" s="491" t="s">
        <v>974</v>
      </c>
      <c r="J175" s="491" t="s">
        <v>975</v>
      </c>
      <c r="K175" s="491" t="s">
        <v>976</v>
      </c>
      <c r="L175" s="491" t="s">
        <v>977</v>
      </c>
      <c r="M175" s="492" t="s">
        <v>824</v>
      </c>
      <c r="N175" s="493" t="s">
        <v>137</v>
      </c>
      <c r="O175" s="493" t="s">
        <v>138</v>
      </c>
      <c r="P175" s="493" t="s">
        <v>161</v>
      </c>
      <c r="Q175" s="493" t="s">
        <v>162</v>
      </c>
      <c r="R175" s="493" t="s">
        <v>163</v>
      </c>
      <c r="S175" s="493" t="s">
        <v>164</v>
      </c>
      <c r="T175" s="493" t="s">
        <v>165</v>
      </c>
      <c r="U175" s="493" t="s">
        <v>166</v>
      </c>
    </row>
    <row r="176" spans="1:21" x14ac:dyDescent="0.3">
      <c r="A176" s="505">
        <f>9</f>
        <v>9</v>
      </c>
      <c r="B176" s="495"/>
      <c r="C176" s="495"/>
      <c r="D176" s="495"/>
      <c r="E176" s="495"/>
      <c r="F176" s="496">
        <f t="shared" ref="F176" si="144">(0.5*(4/3*(PI()*((C176*0.5)*(D176*0.5)*E176)))/1000)</f>
        <v>0</v>
      </c>
      <c r="G176" s="497">
        <f t="shared" ref="G176:G185" si="145">IF(B176=1,$D$11,IF(B176=2,$D$12,IF(B176=3,$D$13,IF(B176=4,$D$14,IF(B176=5,$D$15,IF(B176=6,$D$16,IF(B176=7,$D$17,IF(B176=8,$D$18,))))))))</f>
        <v>0</v>
      </c>
      <c r="H176" s="496">
        <f t="shared" ref="H176" si="146">IF(F176&gt;0,(((0.5*(4/3*(PI()*(((0.5*C176)+G176))*(((0.5*D176)+G176))*(E176+G176))))/1000-F176)), 0)</f>
        <v>0</v>
      </c>
      <c r="I176" s="498" t="str">
        <f t="shared" ref="I176:I185" si="147">IF(B176=1,$G$11,IF(B176=2,$G$12,IF(B176=3,$G$13,IF(B176=4,$G$14,IF(B176=5,$G$15,IF(B176=6,$G$16,IF(B176=7,$G$17,IF(B176=8,$G$18,""))))))))</f>
        <v/>
      </c>
      <c r="J176" s="498" t="str">
        <f t="shared" ref="J176:J185" si="148">IFERROR((H176*I176)*365, "")</f>
        <v/>
      </c>
      <c r="K176" s="499" t="str">
        <f t="shared" ref="K176:K185" si="149">IFERROR(J176*(1/$B$6), "")</f>
        <v/>
      </c>
      <c r="L176" s="499" t="str">
        <f t="shared" ref="L176:L185" si="150">IFERROR(K176/1000, "")</f>
        <v/>
      </c>
      <c r="M176" s="500"/>
      <c r="N176" s="498" t="str">
        <f t="shared" ref="N176:N185" si="151">IF(B176=1, L176,"")</f>
        <v/>
      </c>
      <c r="O176" s="498" t="str">
        <f t="shared" ref="O176:O185" si="152">IF(B176=2, L176,"")</f>
        <v/>
      </c>
      <c r="P176" s="498" t="str">
        <f t="shared" ref="P176:P185" si="153">IF(B176=3, L176,"")</f>
        <v/>
      </c>
      <c r="Q176" s="498" t="str">
        <f t="shared" ref="Q176:Q185" si="154">IF(B176=4, L176,"")</f>
        <v/>
      </c>
      <c r="R176" s="498" t="str">
        <f t="shared" ref="R176:R185" si="155">IF(B176=5, L176,"")</f>
        <v/>
      </c>
      <c r="S176" s="498" t="str">
        <f t="shared" ref="S176:S185" si="156">IF(B176=6, L176,"")</f>
        <v/>
      </c>
      <c r="T176" s="498" t="str">
        <f t="shared" ref="T176:T185" si="157">IF(B176=7, L176,"")</f>
        <v/>
      </c>
      <c r="U176" s="501" t="str">
        <f t="shared" ref="U176:U185" si="158">IF(B176=8, L176,"")</f>
        <v/>
      </c>
    </row>
    <row r="177" spans="1:21" x14ac:dyDescent="0.3">
      <c r="A177" s="505">
        <f>9</f>
        <v>9</v>
      </c>
      <c r="B177" s="495"/>
      <c r="C177" s="495"/>
      <c r="D177" s="495"/>
      <c r="E177" s="495"/>
      <c r="F177" s="496">
        <f t="shared" ref="F177:F185" si="159">(0.5*(4/3*(PI()*((C177*0.5)*(D177*0.5)*E177)))/1000)</f>
        <v>0</v>
      </c>
      <c r="G177" s="497">
        <f t="shared" si="145"/>
        <v>0</v>
      </c>
      <c r="H177" s="496">
        <f t="shared" ref="H177:H185" si="160">IF(F177&gt;0,(((0.5*(4/3*(PI()*(((0.5*C177)+G177))*(((0.5*D177)+G177))*(E177+G177))))/1000-F177)), 0)</f>
        <v>0</v>
      </c>
      <c r="I177" s="498" t="str">
        <f t="shared" si="147"/>
        <v/>
      </c>
      <c r="J177" s="498" t="str">
        <f t="shared" si="148"/>
        <v/>
      </c>
      <c r="K177" s="499" t="str">
        <f t="shared" si="149"/>
        <v/>
      </c>
      <c r="L177" s="499" t="str">
        <f t="shared" si="150"/>
        <v/>
      </c>
      <c r="M177" s="500"/>
      <c r="N177" s="498" t="str">
        <f t="shared" si="151"/>
        <v/>
      </c>
      <c r="O177" s="498" t="str">
        <f t="shared" si="152"/>
        <v/>
      </c>
      <c r="P177" s="498" t="str">
        <f t="shared" si="153"/>
        <v/>
      </c>
      <c r="Q177" s="498" t="str">
        <f t="shared" si="154"/>
        <v/>
      </c>
      <c r="R177" s="498" t="str">
        <f t="shared" si="155"/>
        <v/>
      </c>
      <c r="S177" s="498" t="str">
        <f t="shared" si="156"/>
        <v/>
      </c>
      <c r="T177" s="498" t="str">
        <f t="shared" si="157"/>
        <v/>
      </c>
      <c r="U177" s="501" t="str">
        <f t="shared" si="158"/>
        <v/>
      </c>
    </row>
    <row r="178" spans="1:21" x14ac:dyDescent="0.3">
      <c r="A178" s="505">
        <f>9</f>
        <v>9</v>
      </c>
      <c r="B178" s="495"/>
      <c r="C178" s="495"/>
      <c r="D178" s="495"/>
      <c r="E178" s="495"/>
      <c r="F178" s="496">
        <f t="shared" si="159"/>
        <v>0</v>
      </c>
      <c r="G178" s="497">
        <f t="shared" si="145"/>
        <v>0</v>
      </c>
      <c r="H178" s="496">
        <f t="shared" si="160"/>
        <v>0</v>
      </c>
      <c r="I178" s="498" t="str">
        <f t="shared" si="147"/>
        <v/>
      </c>
      <c r="J178" s="498" t="str">
        <f t="shared" si="148"/>
        <v/>
      </c>
      <c r="K178" s="499" t="str">
        <f t="shared" si="149"/>
        <v/>
      </c>
      <c r="L178" s="499" t="str">
        <f t="shared" si="150"/>
        <v/>
      </c>
      <c r="M178" s="500"/>
      <c r="N178" s="498" t="str">
        <f t="shared" si="151"/>
        <v/>
      </c>
      <c r="O178" s="498" t="str">
        <f t="shared" si="152"/>
        <v/>
      </c>
      <c r="P178" s="498" t="str">
        <f t="shared" si="153"/>
        <v/>
      </c>
      <c r="Q178" s="498" t="str">
        <f t="shared" si="154"/>
        <v/>
      </c>
      <c r="R178" s="498" t="str">
        <f t="shared" si="155"/>
        <v/>
      </c>
      <c r="S178" s="498" t="str">
        <f t="shared" si="156"/>
        <v/>
      </c>
      <c r="T178" s="498" t="str">
        <f t="shared" si="157"/>
        <v/>
      </c>
      <c r="U178" s="501" t="str">
        <f t="shared" si="158"/>
        <v/>
      </c>
    </row>
    <row r="179" spans="1:21" x14ac:dyDescent="0.3">
      <c r="A179" s="505">
        <f>9</f>
        <v>9</v>
      </c>
      <c r="B179" s="495"/>
      <c r="C179" s="495"/>
      <c r="D179" s="495"/>
      <c r="E179" s="495"/>
      <c r="F179" s="496">
        <f t="shared" si="159"/>
        <v>0</v>
      </c>
      <c r="G179" s="497">
        <f t="shared" si="145"/>
        <v>0</v>
      </c>
      <c r="H179" s="496">
        <f t="shared" si="160"/>
        <v>0</v>
      </c>
      <c r="I179" s="498" t="str">
        <f t="shared" si="147"/>
        <v/>
      </c>
      <c r="J179" s="498" t="str">
        <f t="shared" si="148"/>
        <v/>
      </c>
      <c r="K179" s="499" t="str">
        <f t="shared" si="149"/>
        <v/>
      </c>
      <c r="L179" s="499" t="str">
        <f t="shared" si="150"/>
        <v/>
      </c>
      <c r="M179" s="500"/>
      <c r="N179" s="498" t="str">
        <f t="shared" si="151"/>
        <v/>
      </c>
      <c r="O179" s="498" t="str">
        <f t="shared" si="152"/>
        <v/>
      </c>
      <c r="P179" s="498" t="str">
        <f t="shared" si="153"/>
        <v/>
      </c>
      <c r="Q179" s="498" t="str">
        <f t="shared" si="154"/>
        <v/>
      </c>
      <c r="R179" s="498" t="str">
        <f t="shared" si="155"/>
        <v/>
      </c>
      <c r="S179" s="498" t="str">
        <f t="shared" si="156"/>
        <v/>
      </c>
      <c r="T179" s="498" t="str">
        <f t="shared" si="157"/>
        <v/>
      </c>
      <c r="U179" s="501" t="str">
        <f t="shared" si="158"/>
        <v/>
      </c>
    </row>
    <row r="180" spans="1:21" x14ac:dyDescent="0.3">
      <c r="A180" s="505">
        <f>9</f>
        <v>9</v>
      </c>
      <c r="B180" s="495"/>
      <c r="C180" s="495"/>
      <c r="D180" s="495"/>
      <c r="E180" s="495"/>
      <c r="F180" s="496">
        <f t="shared" si="159"/>
        <v>0</v>
      </c>
      <c r="G180" s="497">
        <f t="shared" si="145"/>
        <v>0</v>
      </c>
      <c r="H180" s="496">
        <f t="shared" si="160"/>
        <v>0</v>
      </c>
      <c r="I180" s="498" t="str">
        <f t="shared" si="147"/>
        <v/>
      </c>
      <c r="J180" s="498" t="str">
        <f t="shared" si="148"/>
        <v/>
      </c>
      <c r="K180" s="499" t="str">
        <f t="shared" si="149"/>
        <v/>
      </c>
      <c r="L180" s="499" t="str">
        <f t="shared" si="150"/>
        <v/>
      </c>
      <c r="M180" s="500"/>
      <c r="N180" s="498" t="str">
        <f t="shared" si="151"/>
        <v/>
      </c>
      <c r="O180" s="498" t="str">
        <f t="shared" si="152"/>
        <v/>
      </c>
      <c r="P180" s="498" t="str">
        <f t="shared" si="153"/>
        <v/>
      </c>
      <c r="Q180" s="498" t="str">
        <f t="shared" si="154"/>
        <v/>
      </c>
      <c r="R180" s="498" t="str">
        <f t="shared" si="155"/>
        <v/>
      </c>
      <c r="S180" s="498" t="str">
        <f t="shared" si="156"/>
        <v/>
      </c>
      <c r="T180" s="498" t="str">
        <f t="shared" si="157"/>
        <v/>
      </c>
      <c r="U180" s="501" t="str">
        <f t="shared" si="158"/>
        <v/>
      </c>
    </row>
    <row r="181" spans="1:21" x14ac:dyDescent="0.3">
      <c r="A181" s="505">
        <f>9</f>
        <v>9</v>
      </c>
      <c r="B181" s="495"/>
      <c r="C181" s="495"/>
      <c r="D181" s="495"/>
      <c r="E181" s="495"/>
      <c r="F181" s="496">
        <f t="shared" si="159"/>
        <v>0</v>
      </c>
      <c r="G181" s="497">
        <f t="shared" si="145"/>
        <v>0</v>
      </c>
      <c r="H181" s="496">
        <f t="shared" si="160"/>
        <v>0</v>
      </c>
      <c r="I181" s="498" t="str">
        <f t="shared" si="147"/>
        <v/>
      </c>
      <c r="J181" s="498" t="str">
        <f t="shared" si="148"/>
        <v/>
      </c>
      <c r="K181" s="499" t="str">
        <f t="shared" si="149"/>
        <v/>
      </c>
      <c r="L181" s="499" t="str">
        <f t="shared" si="150"/>
        <v/>
      </c>
      <c r="M181" s="500"/>
      <c r="N181" s="498" t="str">
        <f t="shared" si="151"/>
        <v/>
      </c>
      <c r="O181" s="498" t="str">
        <f t="shared" si="152"/>
        <v/>
      </c>
      <c r="P181" s="498" t="str">
        <f t="shared" si="153"/>
        <v/>
      </c>
      <c r="Q181" s="498" t="str">
        <f t="shared" si="154"/>
        <v/>
      </c>
      <c r="R181" s="498" t="str">
        <f t="shared" si="155"/>
        <v/>
      </c>
      <c r="S181" s="498" t="str">
        <f t="shared" si="156"/>
        <v/>
      </c>
      <c r="T181" s="498" t="str">
        <f t="shared" si="157"/>
        <v/>
      </c>
      <c r="U181" s="501" t="str">
        <f t="shared" si="158"/>
        <v/>
      </c>
    </row>
    <row r="182" spans="1:21" x14ac:dyDescent="0.3">
      <c r="A182" s="505">
        <f>9</f>
        <v>9</v>
      </c>
      <c r="B182" s="495"/>
      <c r="C182" s="495"/>
      <c r="D182" s="495"/>
      <c r="E182" s="495"/>
      <c r="F182" s="496">
        <f t="shared" si="159"/>
        <v>0</v>
      </c>
      <c r="G182" s="497">
        <f t="shared" si="145"/>
        <v>0</v>
      </c>
      <c r="H182" s="496">
        <f t="shared" si="160"/>
        <v>0</v>
      </c>
      <c r="I182" s="498" t="str">
        <f t="shared" si="147"/>
        <v/>
      </c>
      <c r="J182" s="498" t="str">
        <f t="shared" si="148"/>
        <v/>
      </c>
      <c r="K182" s="499" t="str">
        <f t="shared" si="149"/>
        <v/>
      </c>
      <c r="L182" s="499" t="str">
        <f t="shared" si="150"/>
        <v/>
      </c>
      <c r="M182" s="500"/>
      <c r="N182" s="498" t="str">
        <f t="shared" si="151"/>
        <v/>
      </c>
      <c r="O182" s="498" t="str">
        <f t="shared" si="152"/>
        <v/>
      </c>
      <c r="P182" s="498" t="str">
        <f t="shared" si="153"/>
        <v/>
      </c>
      <c r="Q182" s="498" t="str">
        <f t="shared" si="154"/>
        <v/>
      </c>
      <c r="R182" s="498" t="str">
        <f t="shared" si="155"/>
        <v/>
      </c>
      <c r="S182" s="498" t="str">
        <f t="shared" si="156"/>
        <v/>
      </c>
      <c r="T182" s="498" t="str">
        <f t="shared" si="157"/>
        <v/>
      </c>
      <c r="U182" s="501" t="str">
        <f t="shared" si="158"/>
        <v/>
      </c>
    </row>
    <row r="183" spans="1:21" x14ac:dyDescent="0.3">
      <c r="A183" s="505">
        <f>9</f>
        <v>9</v>
      </c>
      <c r="B183" s="495"/>
      <c r="C183" s="495"/>
      <c r="D183" s="495"/>
      <c r="E183" s="495"/>
      <c r="F183" s="496">
        <f t="shared" si="159"/>
        <v>0</v>
      </c>
      <c r="G183" s="497">
        <f t="shared" si="145"/>
        <v>0</v>
      </c>
      <c r="H183" s="496">
        <f t="shared" si="160"/>
        <v>0</v>
      </c>
      <c r="I183" s="498" t="str">
        <f t="shared" si="147"/>
        <v/>
      </c>
      <c r="J183" s="498" t="str">
        <f t="shared" si="148"/>
        <v/>
      </c>
      <c r="K183" s="499" t="str">
        <f t="shared" si="149"/>
        <v/>
      </c>
      <c r="L183" s="499" t="str">
        <f t="shared" si="150"/>
        <v/>
      </c>
      <c r="M183" s="500"/>
      <c r="N183" s="498" t="str">
        <f t="shared" si="151"/>
        <v/>
      </c>
      <c r="O183" s="498" t="str">
        <f t="shared" si="152"/>
        <v/>
      </c>
      <c r="P183" s="498" t="str">
        <f t="shared" si="153"/>
        <v/>
      </c>
      <c r="Q183" s="498" t="str">
        <f t="shared" si="154"/>
        <v/>
      </c>
      <c r="R183" s="498" t="str">
        <f t="shared" si="155"/>
        <v/>
      </c>
      <c r="S183" s="498" t="str">
        <f t="shared" si="156"/>
        <v/>
      </c>
      <c r="T183" s="498" t="str">
        <f t="shared" si="157"/>
        <v/>
      </c>
      <c r="U183" s="501" t="str">
        <f t="shared" si="158"/>
        <v/>
      </c>
    </row>
    <row r="184" spans="1:21" x14ac:dyDescent="0.3">
      <c r="A184" s="505">
        <f>9</f>
        <v>9</v>
      </c>
      <c r="B184" s="495"/>
      <c r="C184" s="495"/>
      <c r="D184" s="495"/>
      <c r="E184" s="495"/>
      <c r="F184" s="496">
        <f t="shared" si="159"/>
        <v>0</v>
      </c>
      <c r="G184" s="497">
        <f t="shared" si="145"/>
        <v>0</v>
      </c>
      <c r="H184" s="496">
        <f t="shared" si="160"/>
        <v>0</v>
      </c>
      <c r="I184" s="498" t="str">
        <f t="shared" si="147"/>
        <v/>
      </c>
      <c r="J184" s="498" t="str">
        <f t="shared" si="148"/>
        <v/>
      </c>
      <c r="K184" s="499" t="str">
        <f t="shared" si="149"/>
        <v/>
      </c>
      <c r="L184" s="499" t="str">
        <f t="shared" si="150"/>
        <v/>
      </c>
      <c r="M184" s="500"/>
      <c r="N184" s="498" t="str">
        <f t="shared" si="151"/>
        <v/>
      </c>
      <c r="O184" s="498" t="str">
        <f t="shared" si="152"/>
        <v/>
      </c>
      <c r="P184" s="498" t="str">
        <f t="shared" si="153"/>
        <v/>
      </c>
      <c r="Q184" s="498" t="str">
        <f t="shared" si="154"/>
        <v/>
      </c>
      <c r="R184" s="498" t="str">
        <f t="shared" si="155"/>
        <v/>
      </c>
      <c r="S184" s="498" t="str">
        <f t="shared" si="156"/>
        <v/>
      </c>
      <c r="T184" s="498" t="str">
        <f t="shared" si="157"/>
        <v/>
      </c>
      <c r="U184" s="501" t="str">
        <f t="shared" si="158"/>
        <v/>
      </c>
    </row>
    <row r="185" spans="1:21" x14ac:dyDescent="0.3">
      <c r="A185" s="505">
        <f>9</f>
        <v>9</v>
      </c>
      <c r="B185" s="495"/>
      <c r="C185" s="495"/>
      <c r="D185" s="495"/>
      <c r="E185" s="495"/>
      <c r="F185" s="496">
        <f t="shared" si="159"/>
        <v>0</v>
      </c>
      <c r="G185" s="497">
        <f t="shared" si="145"/>
        <v>0</v>
      </c>
      <c r="H185" s="496">
        <f t="shared" si="160"/>
        <v>0</v>
      </c>
      <c r="I185" s="498" t="str">
        <f t="shared" si="147"/>
        <v/>
      </c>
      <c r="J185" s="498" t="str">
        <f t="shared" si="148"/>
        <v/>
      </c>
      <c r="K185" s="499" t="str">
        <f t="shared" si="149"/>
        <v/>
      </c>
      <c r="L185" s="499" t="str">
        <f t="shared" si="150"/>
        <v/>
      </c>
      <c r="M185" s="500"/>
      <c r="N185" s="498" t="str">
        <f t="shared" si="151"/>
        <v/>
      </c>
      <c r="O185" s="498" t="str">
        <f t="shared" si="152"/>
        <v/>
      </c>
      <c r="P185" s="498" t="str">
        <f t="shared" si="153"/>
        <v/>
      </c>
      <c r="Q185" s="498" t="str">
        <f t="shared" si="154"/>
        <v/>
      </c>
      <c r="R185" s="498" t="str">
        <f t="shared" si="155"/>
        <v/>
      </c>
      <c r="S185" s="498" t="str">
        <f t="shared" si="156"/>
        <v/>
      </c>
      <c r="T185" s="498" t="str">
        <f t="shared" si="157"/>
        <v/>
      </c>
      <c r="U185" s="501" t="str">
        <f t="shared" si="158"/>
        <v/>
      </c>
    </row>
    <row r="186" spans="1:21" x14ac:dyDescent="0.3">
      <c r="B186" s="431" t="s">
        <v>139</v>
      </c>
      <c r="C186" s="253">
        <f>COUNT(B176:B185)</f>
        <v>0</v>
      </c>
      <c r="D186" s="445"/>
      <c r="E186" s="445"/>
      <c r="J186" s="502" t="s">
        <v>104</v>
      </c>
      <c r="K186" s="254" t="str">
        <f>IF($A176&lt;=$B$5,SUM(K176:K185),"")</f>
        <v/>
      </c>
      <c r="L186" s="254" t="str">
        <f>IF($A176&lt;=$B$5,SUM(L176:L185),"")</f>
        <v/>
      </c>
      <c r="M186" s="452"/>
      <c r="N186" s="254">
        <f t="shared" ref="N186:U186" si="161">SUM(N176:N185)</f>
        <v>0</v>
      </c>
      <c r="O186" s="256">
        <f t="shared" si="161"/>
        <v>0</v>
      </c>
      <c r="P186" s="256">
        <f t="shared" si="161"/>
        <v>0</v>
      </c>
      <c r="Q186" s="256">
        <f t="shared" si="161"/>
        <v>0</v>
      </c>
      <c r="R186" s="256">
        <f t="shared" si="161"/>
        <v>0</v>
      </c>
      <c r="S186" s="256">
        <f t="shared" si="161"/>
        <v>0</v>
      </c>
      <c r="T186" s="256">
        <f t="shared" si="161"/>
        <v>0</v>
      </c>
      <c r="U186" s="256">
        <f t="shared" si="161"/>
        <v>0</v>
      </c>
    </row>
    <row r="187" spans="1:21" x14ac:dyDescent="0.3">
      <c r="K187" s="451"/>
      <c r="L187" s="451"/>
      <c r="M187" s="443"/>
      <c r="N187" s="458"/>
      <c r="O187" s="458"/>
      <c r="P187" s="458"/>
      <c r="Q187" s="458"/>
      <c r="R187" s="458"/>
      <c r="S187" s="458"/>
      <c r="T187" s="458"/>
      <c r="U187" s="458"/>
    </row>
    <row r="188" spans="1:21" x14ac:dyDescent="0.3">
      <c r="K188" s="451"/>
      <c r="L188" s="451"/>
      <c r="M188" s="443"/>
      <c r="N188" s="458"/>
      <c r="O188" s="458"/>
      <c r="P188" s="458"/>
      <c r="Q188" s="458"/>
      <c r="R188" s="458"/>
      <c r="S188" s="458"/>
      <c r="T188" s="458"/>
      <c r="U188" s="458"/>
    </row>
    <row r="189" spans="1:21" x14ac:dyDescent="0.3">
      <c r="K189" s="451"/>
      <c r="L189" s="451"/>
      <c r="M189" s="443"/>
      <c r="N189" s="458"/>
      <c r="O189" s="458"/>
      <c r="P189" s="458"/>
      <c r="Q189" s="458"/>
      <c r="R189" s="458"/>
      <c r="S189" s="458"/>
      <c r="T189" s="458"/>
      <c r="U189" s="458"/>
    </row>
    <row r="190" spans="1:21" x14ac:dyDescent="0.3">
      <c r="K190" s="451"/>
      <c r="L190" s="451"/>
      <c r="M190" s="443"/>
      <c r="N190" s="458"/>
      <c r="O190" s="458"/>
      <c r="P190" s="458"/>
      <c r="Q190" s="458"/>
      <c r="R190" s="458"/>
      <c r="S190" s="458"/>
      <c r="T190" s="458"/>
      <c r="U190" s="458"/>
    </row>
    <row r="191" spans="1:21" x14ac:dyDescent="0.3">
      <c r="K191" s="451"/>
      <c r="L191" s="451"/>
      <c r="M191" s="443"/>
      <c r="N191" s="458"/>
      <c r="O191" s="458"/>
      <c r="P191" s="458"/>
      <c r="Q191" s="458"/>
      <c r="R191" s="458"/>
      <c r="S191" s="458"/>
      <c r="T191" s="458"/>
      <c r="U191" s="458"/>
    </row>
    <row r="192" spans="1:21" x14ac:dyDescent="0.3">
      <c r="C192" s="483"/>
      <c r="D192" s="484" t="s">
        <v>793</v>
      </c>
      <c r="E192" s="485"/>
      <c r="J192" s="483"/>
      <c r="K192" s="484" t="s">
        <v>803</v>
      </c>
      <c r="L192" s="485"/>
      <c r="M192" s="452"/>
      <c r="N192" s="487"/>
      <c r="O192" s="488"/>
      <c r="P192" s="488"/>
      <c r="Q192" s="488"/>
      <c r="R192" s="489" t="s">
        <v>136</v>
      </c>
      <c r="S192" s="488"/>
      <c r="T192" s="488"/>
      <c r="U192" s="490"/>
    </row>
    <row r="193" spans="1:21" ht="21" x14ac:dyDescent="0.3">
      <c r="A193" s="491" t="s">
        <v>135</v>
      </c>
      <c r="B193" s="491" t="s">
        <v>143</v>
      </c>
      <c r="C193" s="491" t="s">
        <v>776</v>
      </c>
      <c r="D193" s="491" t="s">
        <v>777</v>
      </c>
      <c r="E193" s="491" t="s">
        <v>157</v>
      </c>
      <c r="F193" s="491" t="s">
        <v>973</v>
      </c>
      <c r="G193" s="491" t="s">
        <v>778</v>
      </c>
      <c r="H193" s="491" t="s">
        <v>779</v>
      </c>
      <c r="I193" s="491" t="s">
        <v>974</v>
      </c>
      <c r="J193" s="491" t="s">
        <v>975</v>
      </c>
      <c r="K193" s="491" t="s">
        <v>976</v>
      </c>
      <c r="L193" s="491" t="s">
        <v>977</v>
      </c>
      <c r="M193" s="492" t="s">
        <v>824</v>
      </c>
      <c r="N193" s="493" t="s">
        <v>137</v>
      </c>
      <c r="O193" s="493" t="s">
        <v>138</v>
      </c>
      <c r="P193" s="493" t="s">
        <v>161</v>
      </c>
      <c r="Q193" s="493" t="s">
        <v>162</v>
      </c>
      <c r="R193" s="493" t="s">
        <v>163</v>
      </c>
      <c r="S193" s="493" t="s">
        <v>164</v>
      </c>
      <c r="T193" s="493" t="s">
        <v>165</v>
      </c>
      <c r="U193" s="493" t="s">
        <v>166</v>
      </c>
    </row>
    <row r="194" spans="1:21" x14ac:dyDescent="0.3">
      <c r="A194" s="505">
        <f>10</f>
        <v>10</v>
      </c>
      <c r="B194" s="495"/>
      <c r="C194" s="495"/>
      <c r="D194" s="495"/>
      <c r="E194" s="495"/>
      <c r="F194" s="496">
        <f t="shared" ref="F194" si="162">(0.5*(4/3*(PI()*((C194*0.5)*(D194*0.5)*E194)))/1000)</f>
        <v>0</v>
      </c>
      <c r="G194" s="497">
        <f t="shared" ref="G194:G203" si="163">IF(B194=1,$D$11,IF(B194=2,$D$12,IF(B194=3,$D$13,IF(B194=4,$D$14,IF(B194=5,$D$15,IF(B194=6,$D$16,IF(B194=7,$D$17,IF(B194=8,$D$18,))))))))</f>
        <v>0</v>
      </c>
      <c r="H194" s="496">
        <f t="shared" ref="H194" si="164">IF(F194&gt;0,(((0.5*(4/3*(PI()*(((0.5*C194)+G194))*(((0.5*D194)+G194))*(E194+G194))))/1000-F194)), 0)</f>
        <v>0</v>
      </c>
      <c r="I194" s="498" t="str">
        <f t="shared" ref="I194:I203" si="165">IF(B194=1,$G$11,IF(B194=2,$G$12,IF(B194=3,$G$13,IF(B194=4,$G$14,IF(B194=5,$G$15,IF(B194=6,$G$16,IF(B194=7,$G$17,IF(B194=8,$G$18,""))))))))</f>
        <v/>
      </c>
      <c r="J194" s="498" t="str">
        <f t="shared" ref="J194:J203" si="166">IFERROR((H194*I194)*365, "")</f>
        <v/>
      </c>
      <c r="K194" s="499" t="str">
        <f t="shared" ref="K194:K203" si="167">IFERROR(J194*(1/$B$6), "")</f>
        <v/>
      </c>
      <c r="L194" s="499" t="str">
        <f t="shared" ref="L194:L203" si="168">IFERROR(K194/1000, "")</f>
        <v/>
      </c>
      <c r="M194" s="500"/>
      <c r="N194" s="498" t="str">
        <f t="shared" ref="N194:N203" si="169">IF(B194=1, L194,"")</f>
        <v/>
      </c>
      <c r="O194" s="498" t="str">
        <f t="shared" ref="O194:O203" si="170">IF(B194=2, L194,"")</f>
        <v/>
      </c>
      <c r="P194" s="498" t="str">
        <f t="shared" ref="P194:P203" si="171">IF(B194=3, L194,"")</f>
        <v/>
      </c>
      <c r="Q194" s="498" t="str">
        <f t="shared" ref="Q194:Q203" si="172">IF(B194=4, L194,"")</f>
        <v/>
      </c>
      <c r="R194" s="498" t="str">
        <f t="shared" ref="R194:R203" si="173">IF(B194=5, L194,"")</f>
        <v/>
      </c>
      <c r="S194" s="498" t="str">
        <f t="shared" ref="S194:S203" si="174">IF(B194=6, L194,"")</f>
        <v/>
      </c>
      <c r="T194" s="498" t="str">
        <f t="shared" ref="T194:T203" si="175">IF(B194=7, L194,"")</f>
        <v/>
      </c>
      <c r="U194" s="501" t="str">
        <f t="shared" ref="U194:U203" si="176">IF(B194=8, L194,"")</f>
        <v/>
      </c>
    </row>
    <row r="195" spans="1:21" x14ac:dyDescent="0.3">
      <c r="A195" s="505">
        <f>10</f>
        <v>10</v>
      </c>
      <c r="B195" s="495"/>
      <c r="C195" s="495"/>
      <c r="D195" s="495"/>
      <c r="E195" s="495"/>
      <c r="F195" s="496">
        <f t="shared" ref="F195:F203" si="177">(0.5*(4/3*(PI()*((C195*0.5)*(D195*0.5)*E195)))/1000)</f>
        <v>0</v>
      </c>
      <c r="G195" s="497">
        <f t="shared" si="163"/>
        <v>0</v>
      </c>
      <c r="H195" s="496">
        <f t="shared" ref="H195:H203" si="178">IF(F195&gt;0,(((0.5*(4/3*(PI()*(((0.5*C195)+G195))*(((0.5*D195)+G195))*(E195+G195))))/1000-F195)), 0)</f>
        <v>0</v>
      </c>
      <c r="I195" s="498" t="str">
        <f t="shared" si="165"/>
        <v/>
      </c>
      <c r="J195" s="498" t="str">
        <f t="shared" si="166"/>
        <v/>
      </c>
      <c r="K195" s="499" t="str">
        <f t="shared" si="167"/>
        <v/>
      </c>
      <c r="L195" s="499" t="str">
        <f t="shared" si="168"/>
        <v/>
      </c>
      <c r="M195" s="500"/>
      <c r="N195" s="498" t="str">
        <f t="shared" si="169"/>
        <v/>
      </c>
      <c r="O195" s="498" t="str">
        <f t="shared" si="170"/>
        <v/>
      </c>
      <c r="P195" s="498" t="str">
        <f t="shared" si="171"/>
        <v/>
      </c>
      <c r="Q195" s="498" t="str">
        <f t="shared" si="172"/>
        <v/>
      </c>
      <c r="R195" s="498" t="str">
        <f t="shared" si="173"/>
        <v/>
      </c>
      <c r="S195" s="498" t="str">
        <f t="shared" si="174"/>
        <v/>
      </c>
      <c r="T195" s="498" t="str">
        <f t="shared" si="175"/>
        <v/>
      </c>
      <c r="U195" s="501" t="str">
        <f t="shared" si="176"/>
        <v/>
      </c>
    </row>
    <row r="196" spans="1:21" x14ac:dyDescent="0.3">
      <c r="A196" s="505">
        <f>10</f>
        <v>10</v>
      </c>
      <c r="B196" s="495"/>
      <c r="C196" s="495"/>
      <c r="D196" s="495"/>
      <c r="E196" s="495"/>
      <c r="F196" s="496">
        <f t="shared" si="177"/>
        <v>0</v>
      </c>
      <c r="G196" s="497">
        <f t="shared" si="163"/>
        <v>0</v>
      </c>
      <c r="H196" s="496">
        <f t="shared" si="178"/>
        <v>0</v>
      </c>
      <c r="I196" s="498" t="str">
        <f t="shared" si="165"/>
        <v/>
      </c>
      <c r="J196" s="498" t="str">
        <f t="shared" si="166"/>
        <v/>
      </c>
      <c r="K196" s="499" t="str">
        <f t="shared" si="167"/>
        <v/>
      </c>
      <c r="L196" s="499" t="str">
        <f t="shared" si="168"/>
        <v/>
      </c>
      <c r="M196" s="500"/>
      <c r="N196" s="498" t="str">
        <f t="shared" si="169"/>
        <v/>
      </c>
      <c r="O196" s="498" t="str">
        <f t="shared" si="170"/>
        <v/>
      </c>
      <c r="P196" s="498" t="str">
        <f t="shared" si="171"/>
        <v/>
      </c>
      <c r="Q196" s="498" t="str">
        <f t="shared" si="172"/>
        <v/>
      </c>
      <c r="R196" s="498" t="str">
        <f t="shared" si="173"/>
        <v/>
      </c>
      <c r="S196" s="498" t="str">
        <f t="shared" si="174"/>
        <v/>
      </c>
      <c r="T196" s="498" t="str">
        <f t="shared" si="175"/>
        <v/>
      </c>
      <c r="U196" s="501" t="str">
        <f t="shared" si="176"/>
        <v/>
      </c>
    </row>
    <row r="197" spans="1:21" x14ac:dyDescent="0.3">
      <c r="A197" s="505">
        <f>10</f>
        <v>10</v>
      </c>
      <c r="B197" s="495"/>
      <c r="C197" s="495"/>
      <c r="D197" s="495"/>
      <c r="E197" s="495"/>
      <c r="F197" s="496">
        <f t="shared" si="177"/>
        <v>0</v>
      </c>
      <c r="G197" s="497">
        <f t="shared" si="163"/>
        <v>0</v>
      </c>
      <c r="H197" s="496">
        <f t="shared" si="178"/>
        <v>0</v>
      </c>
      <c r="I197" s="498" t="str">
        <f t="shared" si="165"/>
        <v/>
      </c>
      <c r="J197" s="498" t="str">
        <f t="shared" si="166"/>
        <v/>
      </c>
      <c r="K197" s="499" t="str">
        <f t="shared" si="167"/>
        <v/>
      </c>
      <c r="L197" s="499" t="str">
        <f t="shared" si="168"/>
        <v/>
      </c>
      <c r="M197" s="500"/>
      <c r="N197" s="498" t="str">
        <f t="shared" si="169"/>
        <v/>
      </c>
      <c r="O197" s="498" t="str">
        <f t="shared" si="170"/>
        <v/>
      </c>
      <c r="P197" s="498" t="str">
        <f t="shared" si="171"/>
        <v/>
      </c>
      <c r="Q197" s="498" t="str">
        <f t="shared" si="172"/>
        <v/>
      </c>
      <c r="R197" s="498" t="str">
        <f t="shared" si="173"/>
        <v/>
      </c>
      <c r="S197" s="498" t="str">
        <f t="shared" si="174"/>
        <v/>
      </c>
      <c r="T197" s="498" t="str">
        <f t="shared" si="175"/>
        <v/>
      </c>
      <c r="U197" s="501" t="str">
        <f t="shared" si="176"/>
        <v/>
      </c>
    </row>
    <row r="198" spans="1:21" x14ac:dyDescent="0.3">
      <c r="A198" s="505">
        <f>10</f>
        <v>10</v>
      </c>
      <c r="B198" s="495"/>
      <c r="C198" s="495"/>
      <c r="D198" s="495"/>
      <c r="E198" s="495"/>
      <c r="F198" s="496">
        <f t="shared" si="177"/>
        <v>0</v>
      </c>
      <c r="G198" s="497">
        <f t="shared" si="163"/>
        <v>0</v>
      </c>
      <c r="H198" s="496">
        <f t="shared" si="178"/>
        <v>0</v>
      </c>
      <c r="I198" s="498" t="str">
        <f t="shared" si="165"/>
        <v/>
      </c>
      <c r="J198" s="498" t="str">
        <f t="shared" si="166"/>
        <v/>
      </c>
      <c r="K198" s="499" t="str">
        <f t="shared" si="167"/>
        <v/>
      </c>
      <c r="L198" s="499" t="str">
        <f t="shared" si="168"/>
        <v/>
      </c>
      <c r="M198" s="500"/>
      <c r="N198" s="498" t="str">
        <f t="shared" si="169"/>
        <v/>
      </c>
      <c r="O198" s="498" t="str">
        <f t="shared" si="170"/>
        <v/>
      </c>
      <c r="P198" s="498" t="str">
        <f t="shared" si="171"/>
        <v/>
      </c>
      <c r="Q198" s="498" t="str">
        <f t="shared" si="172"/>
        <v/>
      </c>
      <c r="R198" s="498" t="str">
        <f t="shared" si="173"/>
        <v/>
      </c>
      <c r="S198" s="498" t="str">
        <f t="shared" si="174"/>
        <v/>
      </c>
      <c r="T198" s="498" t="str">
        <f t="shared" si="175"/>
        <v/>
      </c>
      <c r="U198" s="501" t="str">
        <f t="shared" si="176"/>
        <v/>
      </c>
    </row>
    <row r="199" spans="1:21" x14ac:dyDescent="0.3">
      <c r="A199" s="505">
        <f>10</f>
        <v>10</v>
      </c>
      <c r="B199" s="495"/>
      <c r="C199" s="495"/>
      <c r="D199" s="495"/>
      <c r="E199" s="495"/>
      <c r="F199" s="496">
        <f t="shared" si="177"/>
        <v>0</v>
      </c>
      <c r="G199" s="497">
        <f t="shared" si="163"/>
        <v>0</v>
      </c>
      <c r="H199" s="496">
        <f t="shared" si="178"/>
        <v>0</v>
      </c>
      <c r="I199" s="498" t="str">
        <f t="shared" si="165"/>
        <v/>
      </c>
      <c r="J199" s="498" t="str">
        <f t="shared" si="166"/>
        <v/>
      </c>
      <c r="K199" s="499" t="str">
        <f t="shared" si="167"/>
        <v/>
      </c>
      <c r="L199" s="499" t="str">
        <f t="shared" si="168"/>
        <v/>
      </c>
      <c r="M199" s="500"/>
      <c r="N199" s="498" t="str">
        <f t="shared" si="169"/>
        <v/>
      </c>
      <c r="O199" s="498" t="str">
        <f t="shared" si="170"/>
        <v/>
      </c>
      <c r="P199" s="498" t="str">
        <f t="shared" si="171"/>
        <v/>
      </c>
      <c r="Q199" s="498" t="str">
        <f t="shared" si="172"/>
        <v/>
      </c>
      <c r="R199" s="498" t="str">
        <f t="shared" si="173"/>
        <v/>
      </c>
      <c r="S199" s="498" t="str">
        <f t="shared" si="174"/>
        <v/>
      </c>
      <c r="T199" s="498" t="str">
        <f t="shared" si="175"/>
        <v/>
      </c>
      <c r="U199" s="501" t="str">
        <f t="shared" si="176"/>
        <v/>
      </c>
    </row>
    <row r="200" spans="1:21" x14ac:dyDescent="0.3">
      <c r="A200" s="505">
        <f>10</f>
        <v>10</v>
      </c>
      <c r="B200" s="495"/>
      <c r="C200" s="495"/>
      <c r="D200" s="495"/>
      <c r="E200" s="495"/>
      <c r="F200" s="496">
        <f t="shared" si="177"/>
        <v>0</v>
      </c>
      <c r="G200" s="497">
        <f t="shared" si="163"/>
        <v>0</v>
      </c>
      <c r="H200" s="496">
        <f t="shared" si="178"/>
        <v>0</v>
      </c>
      <c r="I200" s="498" t="str">
        <f t="shared" si="165"/>
        <v/>
      </c>
      <c r="J200" s="498" t="str">
        <f t="shared" si="166"/>
        <v/>
      </c>
      <c r="K200" s="499" t="str">
        <f t="shared" si="167"/>
        <v/>
      </c>
      <c r="L200" s="499" t="str">
        <f t="shared" si="168"/>
        <v/>
      </c>
      <c r="M200" s="500"/>
      <c r="N200" s="498" t="str">
        <f t="shared" si="169"/>
        <v/>
      </c>
      <c r="O200" s="498" t="str">
        <f t="shared" si="170"/>
        <v/>
      </c>
      <c r="P200" s="498" t="str">
        <f t="shared" si="171"/>
        <v/>
      </c>
      <c r="Q200" s="498" t="str">
        <f t="shared" si="172"/>
        <v/>
      </c>
      <c r="R200" s="498" t="str">
        <f t="shared" si="173"/>
        <v/>
      </c>
      <c r="S200" s="498" t="str">
        <f t="shared" si="174"/>
        <v/>
      </c>
      <c r="T200" s="498" t="str">
        <f t="shared" si="175"/>
        <v/>
      </c>
      <c r="U200" s="501" t="str">
        <f t="shared" si="176"/>
        <v/>
      </c>
    </row>
    <row r="201" spans="1:21" x14ac:dyDescent="0.3">
      <c r="A201" s="505">
        <f>10</f>
        <v>10</v>
      </c>
      <c r="B201" s="495"/>
      <c r="C201" s="495"/>
      <c r="D201" s="495"/>
      <c r="E201" s="495"/>
      <c r="F201" s="496">
        <f t="shared" si="177"/>
        <v>0</v>
      </c>
      <c r="G201" s="497">
        <f t="shared" si="163"/>
        <v>0</v>
      </c>
      <c r="H201" s="496">
        <f t="shared" si="178"/>
        <v>0</v>
      </c>
      <c r="I201" s="498" t="str">
        <f t="shared" si="165"/>
        <v/>
      </c>
      <c r="J201" s="498" t="str">
        <f t="shared" si="166"/>
        <v/>
      </c>
      <c r="K201" s="499" t="str">
        <f t="shared" si="167"/>
        <v/>
      </c>
      <c r="L201" s="499" t="str">
        <f t="shared" si="168"/>
        <v/>
      </c>
      <c r="M201" s="500"/>
      <c r="N201" s="498" t="str">
        <f t="shared" si="169"/>
        <v/>
      </c>
      <c r="O201" s="498" t="str">
        <f t="shared" si="170"/>
        <v/>
      </c>
      <c r="P201" s="498" t="str">
        <f t="shared" si="171"/>
        <v/>
      </c>
      <c r="Q201" s="498" t="str">
        <f t="shared" si="172"/>
        <v/>
      </c>
      <c r="R201" s="498" t="str">
        <f t="shared" si="173"/>
        <v/>
      </c>
      <c r="S201" s="498" t="str">
        <f t="shared" si="174"/>
        <v/>
      </c>
      <c r="T201" s="498" t="str">
        <f t="shared" si="175"/>
        <v/>
      </c>
      <c r="U201" s="501" t="str">
        <f t="shared" si="176"/>
        <v/>
      </c>
    </row>
    <row r="202" spans="1:21" x14ac:dyDescent="0.3">
      <c r="A202" s="505">
        <f>10</f>
        <v>10</v>
      </c>
      <c r="B202" s="495"/>
      <c r="C202" s="495"/>
      <c r="D202" s="495"/>
      <c r="E202" s="495"/>
      <c r="F202" s="496">
        <f t="shared" si="177"/>
        <v>0</v>
      </c>
      <c r="G202" s="497">
        <f t="shared" si="163"/>
        <v>0</v>
      </c>
      <c r="H202" s="496">
        <f t="shared" si="178"/>
        <v>0</v>
      </c>
      <c r="I202" s="498" t="str">
        <f t="shared" si="165"/>
        <v/>
      </c>
      <c r="J202" s="498" t="str">
        <f t="shared" si="166"/>
        <v/>
      </c>
      <c r="K202" s="499" t="str">
        <f t="shared" si="167"/>
        <v/>
      </c>
      <c r="L202" s="499" t="str">
        <f t="shared" si="168"/>
        <v/>
      </c>
      <c r="M202" s="500"/>
      <c r="N202" s="498" t="str">
        <f t="shared" si="169"/>
        <v/>
      </c>
      <c r="O202" s="498" t="str">
        <f t="shared" si="170"/>
        <v/>
      </c>
      <c r="P202" s="498" t="str">
        <f t="shared" si="171"/>
        <v/>
      </c>
      <c r="Q202" s="498" t="str">
        <f t="shared" si="172"/>
        <v/>
      </c>
      <c r="R202" s="498" t="str">
        <f t="shared" si="173"/>
        <v/>
      </c>
      <c r="S202" s="498" t="str">
        <f t="shared" si="174"/>
        <v/>
      </c>
      <c r="T202" s="498" t="str">
        <f t="shared" si="175"/>
        <v/>
      </c>
      <c r="U202" s="501" t="str">
        <f t="shared" si="176"/>
        <v/>
      </c>
    </row>
    <row r="203" spans="1:21" x14ac:dyDescent="0.3">
      <c r="A203" s="505">
        <f>10</f>
        <v>10</v>
      </c>
      <c r="B203" s="495"/>
      <c r="C203" s="495"/>
      <c r="D203" s="495"/>
      <c r="E203" s="495"/>
      <c r="F203" s="496">
        <f t="shared" si="177"/>
        <v>0</v>
      </c>
      <c r="G203" s="497">
        <f t="shared" si="163"/>
        <v>0</v>
      </c>
      <c r="H203" s="496">
        <f t="shared" si="178"/>
        <v>0</v>
      </c>
      <c r="I203" s="498" t="str">
        <f t="shared" si="165"/>
        <v/>
      </c>
      <c r="J203" s="498" t="str">
        <f t="shared" si="166"/>
        <v/>
      </c>
      <c r="K203" s="499" t="str">
        <f t="shared" si="167"/>
        <v/>
      </c>
      <c r="L203" s="499" t="str">
        <f t="shared" si="168"/>
        <v/>
      </c>
      <c r="M203" s="500"/>
      <c r="N203" s="498" t="str">
        <f t="shared" si="169"/>
        <v/>
      </c>
      <c r="O203" s="498" t="str">
        <f t="shared" si="170"/>
        <v/>
      </c>
      <c r="P203" s="498" t="str">
        <f t="shared" si="171"/>
        <v/>
      </c>
      <c r="Q203" s="498" t="str">
        <f t="shared" si="172"/>
        <v/>
      </c>
      <c r="R203" s="498" t="str">
        <f t="shared" si="173"/>
        <v/>
      </c>
      <c r="S203" s="498" t="str">
        <f t="shared" si="174"/>
        <v/>
      </c>
      <c r="T203" s="498" t="str">
        <f t="shared" si="175"/>
        <v/>
      </c>
      <c r="U203" s="501" t="str">
        <f t="shared" si="176"/>
        <v/>
      </c>
    </row>
    <row r="204" spans="1:21" x14ac:dyDescent="0.3">
      <c r="B204" s="431" t="s">
        <v>139</v>
      </c>
      <c r="C204" s="253">
        <f>COUNT(B194:B203)</f>
        <v>0</v>
      </c>
      <c r="D204" s="445"/>
      <c r="E204" s="445"/>
      <c r="J204" s="502" t="s">
        <v>104</v>
      </c>
      <c r="K204" s="254" t="str">
        <f>IF($A194&lt;=$B$5,SUM(K194:K203),"")</f>
        <v/>
      </c>
      <c r="L204" s="254" t="str">
        <f>IF($A194&lt;=$B$5,SUM(L194:L203),"")</f>
        <v/>
      </c>
      <c r="M204" s="452"/>
      <c r="N204" s="254">
        <f t="shared" ref="N204:U204" si="179">SUM(N194:N203)</f>
        <v>0</v>
      </c>
      <c r="O204" s="256">
        <f t="shared" si="179"/>
        <v>0</v>
      </c>
      <c r="P204" s="256">
        <f t="shared" si="179"/>
        <v>0</v>
      </c>
      <c r="Q204" s="256">
        <f t="shared" si="179"/>
        <v>0</v>
      </c>
      <c r="R204" s="256">
        <f t="shared" si="179"/>
        <v>0</v>
      </c>
      <c r="S204" s="256">
        <f t="shared" si="179"/>
        <v>0</v>
      </c>
      <c r="T204" s="256">
        <f t="shared" si="179"/>
        <v>0</v>
      </c>
      <c r="U204" s="256">
        <f t="shared" si="179"/>
        <v>0</v>
      </c>
    </row>
    <row r="205" spans="1:21" x14ac:dyDescent="0.3">
      <c r="B205" s="431"/>
      <c r="C205" s="445"/>
      <c r="D205" s="445"/>
      <c r="E205" s="445"/>
      <c r="O205" s="451"/>
    </row>
    <row r="206" spans="1:21" x14ac:dyDescent="0.3">
      <c r="B206" s="431"/>
      <c r="C206" s="445"/>
      <c r="D206" s="445"/>
      <c r="E206" s="445"/>
      <c r="O206" s="451"/>
    </row>
    <row r="207" spans="1:21" x14ac:dyDescent="0.3">
      <c r="B207" s="431"/>
      <c r="C207" s="445"/>
      <c r="D207" s="445"/>
      <c r="E207" s="445"/>
      <c r="O207" s="451"/>
    </row>
    <row r="208" spans="1:21" x14ac:dyDescent="0.3">
      <c r="P208" s="458"/>
      <c r="Q208" s="458"/>
      <c r="R208" s="458"/>
      <c r="S208" s="458"/>
      <c r="T208" s="458"/>
      <c r="U208" s="458"/>
    </row>
    <row r="209" spans="1:15" x14ac:dyDescent="0.3">
      <c r="A209" s="583" t="s">
        <v>167</v>
      </c>
      <c r="B209" s="583"/>
    </row>
    <row r="210" spans="1:15" x14ac:dyDescent="0.3">
      <c r="A210" s="577" t="s">
        <v>44</v>
      </c>
      <c r="B210" s="578" t="s">
        <v>44</v>
      </c>
      <c r="C210" s="580" t="s">
        <v>978</v>
      </c>
    </row>
    <row r="211" spans="1:15" x14ac:dyDescent="0.3">
      <c r="A211" s="577"/>
      <c r="B211" s="579"/>
      <c r="C211" s="581"/>
    </row>
    <row r="212" spans="1:15" x14ac:dyDescent="0.3">
      <c r="A212" s="463">
        <v>1</v>
      </c>
      <c r="B212" s="477" t="str">
        <f>IF($A$11="","",($A$11))</f>
        <v>Ampriroa fragilissima</v>
      </c>
      <c r="C212" s="510" t="e">
        <f>(N45+N62+N79+N96+N114+N132+N150+N168+N186+N204)/$B$5</f>
        <v>#DIV/0!</v>
      </c>
      <c r="D212" s="445"/>
    </row>
    <row r="213" spans="1:15" x14ac:dyDescent="0.3">
      <c r="A213" s="463">
        <v>2</v>
      </c>
      <c r="B213" s="477" t="str">
        <f>IF($A$12="","",($A$12))</f>
        <v>Amphiroa tribulus</v>
      </c>
      <c r="C213" s="510" t="e">
        <f>(O45+O62+O79+O96+O114+O132+O150+O168+O186+O204)/$B$5</f>
        <v>#DIV/0!</v>
      </c>
      <c r="D213" s="445"/>
    </row>
    <row r="214" spans="1:15" x14ac:dyDescent="0.3">
      <c r="A214" s="463">
        <v>3</v>
      </c>
      <c r="B214" s="477" t="str">
        <f>IF($A$13="","",($A$13))</f>
        <v>Tricleocarpa fragilis</v>
      </c>
      <c r="C214" s="510" t="e">
        <f>(P45+P62+P79+P96+P114+P132+P150+P168+P186+P204)/$B$5</f>
        <v>#DIV/0!</v>
      </c>
      <c r="D214" s="445"/>
    </row>
    <row r="215" spans="1:15" x14ac:dyDescent="0.3">
      <c r="A215" s="463">
        <v>4</v>
      </c>
      <c r="B215" s="479" t="str">
        <f>IF($A$14="","",($A$14))</f>
        <v/>
      </c>
      <c r="C215" s="510" t="e">
        <f>(Q45+Q62+Q79+Q96+Q114+Q132+Q150+Q168+Q186+Q204)/$B$5</f>
        <v>#DIV/0!</v>
      </c>
      <c r="D215" s="445"/>
    </row>
    <row r="216" spans="1:15" x14ac:dyDescent="0.3">
      <c r="A216" s="463">
        <v>5</v>
      </c>
      <c r="B216" s="479" t="str">
        <f>IF($A$15="","",($A$15))</f>
        <v/>
      </c>
      <c r="C216" s="510" t="e">
        <f>(R45+R62+R79+R96+R114+R132+R150+R168+R186+R204)/$B$5</f>
        <v>#DIV/0!</v>
      </c>
      <c r="D216" s="445"/>
      <c r="F216" s="443" t="s">
        <v>783</v>
      </c>
    </row>
    <row r="217" spans="1:15" x14ac:dyDescent="0.3">
      <c r="A217" s="463">
        <v>6</v>
      </c>
      <c r="B217" s="479" t="str">
        <f>IF($A$16="","",($A$16))</f>
        <v/>
      </c>
      <c r="C217" s="510" t="e">
        <f>(S45+S62+S79+S96+S114+S132+S150+S168+S186+S204)/$B$5</f>
        <v>#DIV/0!</v>
      </c>
      <c r="D217" s="445"/>
      <c r="E217" s="443" t="s">
        <v>783</v>
      </c>
      <c r="I217" s="443" t="s">
        <v>783</v>
      </c>
    </row>
    <row r="218" spans="1:15" x14ac:dyDescent="0.3">
      <c r="A218" s="463">
        <v>7</v>
      </c>
      <c r="B218" s="479" t="str">
        <f>IF($A$17="","",($A$17))</f>
        <v/>
      </c>
      <c r="C218" s="510" t="e">
        <f>(T45+T62+T79+T96+T114+T132+T150+T168+T186+T204)/$B$5</f>
        <v>#DIV/0!</v>
      </c>
      <c r="D218" s="445"/>
      <c r="F218" s="443" t="s">
        <v>783</v>
      </c>
    </row>
    <row r="219" spans="1:15" x14ac:dyDescent="0.3">
      <c r="A219" s="463">
        <v>8</v>
      </c>
      <c r="B219" s="479" t="str">
        <f>IF($A$18="","",($A$18))</f>
        <v/>
      </c>
      <c r="C219" s="510" t="e">
        <f>(U45+U62+U79+U96+U114+U132+U150+U168+U186+U204)/$B$5</f>
        <v>#DIV/0!</v>
      </c>
      <c r="D219" s="445"/>
      <c r="E219" s="443" t="s">
        <v>783</v>
      </c>
    </row>
    <row r="221" spans="1:15" ht="21" x14ac:dyDescent="0.3">
      <c r="A221" s="446" t="s">
        <v>979</v>
      </c>
      <c r="B221" s="446"/>
      <c r="C221" s="446"/>
      <c r="F221" s="438"/>
      <c r="G221" s="438"/>
      <c r="H221" s="438"/>
      <c r="I221" s="438"/>
      <c r="J221" s="438"/>
      <c r="K221" s="438"/>
      <c r="M221" s="443"/>
      <c r="N221" s="443"/>
    </row>
    <row r="222" spans="1:15" x14ac:dyDescent="0.3">
      <c r="A222" s="577" t="s">
        <v>44</v>
      </c>
      <c r="B222" s="578" t="s">
        <v>44</v>
      </c>
      <c r="C222" s="493" t="s">
        <v>103</v>
      </c>
      <c r="D222" s="493" t="s">
        <v>68</v>
      </c>
      <c r="E222" s="493" t="s">
        <v>69</v>
      </c>
      <c r="F222" s="493" t="s">
        <v>70</v>
      </c>
      <c r="G222" s="493" t="s">
        <v>71</v>
      </c>
      <c r="H222" s="493" t="s">
        <v>72</v>
      </c>
      <c r="I222" s="493" t="s">
        <v>73</v>
      </c>
      <c r="J222" s="493" t="s">
        <v>74</v>
      </c>
      <c r="K222" s="493" t="s">
        <v>147</v>
      </c>
      <c r="L222" s="493" t="s">
        <v>76</v>
      </c>
      <c r="M222" s="493" t="s">
        <v>77</v>
      </c>
      <c r="N222" s="493" t="s">
        <v>78</v>
      </c>
    </row>
    <row r="223" spans="1:15" x14ac:dyDescent="0.3">
      <c r="A223" s="577"/>
      <c r="B223" s="579"/>
      <c r="C223" s="493" t="s">
        <v>80</v>
      </c>
      <c r="D223" s="493" t="s">
        <v>81</v>
      </c>
      <c r="E223" s="493" t="s">
        <v>82</v>
      </c>
      <c r="F223" s="493" t="s">
        <v>83</v>
      </c>
      <c r="G223" s="493" t="s">
        <v>84</v>
      </c>
      <c r="H223" s="493" t="s">
        <v>85</v>
      </c>
      <c r="I223" s="493" t="s">
        <v>86</v>
      </c>
      <c r="J223" s="493" t="s">
        <v>87</v>
      </c>
      <c r="K223" s="493" t="s">
        <v>88</v>
      </c>
      <c r="L223" s="493" t="s">
        <v>89</v>
      </c>
      <c r="M223" s="493" t="s">
        <v>90</v>
      </c>
      <c r="N223" s="493" t="s">
        <v>91</v>
      </c>
    </row>
    <row r="224" spans="1:15" x14ac:dyDescent="0.3">
      <c r="A224" s="463">
        <v>1</v>
      </c>
      <c r="B224" s="477" t="str">
        <f>IF($A$11="","",($A$11))</f>
        <v>Ampriroa fragilissima</v>
      </c>
      <c r="C224" s="511" t="e">
        <f t="shared" ref="C224:K224" si="180">$C$212*C23</f>
        <v>#DIV/0!</v>
      </c>
      <c r="D224" s="511" t="e">
        <f t="shared" si="180"/>
        <v>#DIV/0!</v>
      </c>
      <c r="E224" s="511" t="e">
        <f t="shared" si="180"/>
        <v>#DIV/0!</v>
      </c>
      <c r="F224" s="511" t="e">
        <f t="shared" si="180"/>
        <v>#DIV/0!</v>
      </c>
      <c r="G224" s="511" t="e">
        <f t="shared" si="180"/>
        <v>#DIV/0!</v>
      </c>
      <c r="H224" s="511" t="e">
        <f t="shared" si="180"/>
        <v>#DIV/0!</v>
      </c>
      <c r="I224" s="511" t="e">
        <f t="shared" si="180"/>
        <v>#DIV/0!</v>
      </c>
      <c r="J224" s="511" t="e">
        <f t="shared" si="180"/>
        <v>#DIV/0!</v>
      </c>
      <c r="K224" s="511" t="e">
        <f t="shared" si="180"/>
        <v>#DIV/0!</v>
      </c>
      <c r="L224" s="511">
        <v>0</v>
      </c>
      <c r="M224" s="511">
        <v>0</v>
      </c>
      <c r="N224" s="511">
        <v>0</v>
      </c>
      <c r="O224" s="452"/>
    </row>
    <row r="225" spans="1:21" x14ac:dyDescent="0.3">
      <c r="A225" s="463">
        <v>2</v>
      </c>
      <c r="B225" s="477" t="str">
        <f>IF($A$12="","",($A$12))</f>
        <v>Amphiroa tribulus</v>
      </c>
      <c r="C225" s="511" t="e">
        <f t="shared" ref="C225:K225" si="181">$C$213*C24</f>
        <v>#DIV/0!</v>
      </c>
      <c r="D225" s="511" t="e">
        <f t="shared" si="181"/>
        <v>#DIV/0!</v>
      </c>
      <c r="E225" s="511" t="e">
        <f t="shared" si="181"/>
        <v>#DIV/0!</v>
      </c>
      <c r="F225" s="511" t="e">
        <f t="shared" si="181"/>
        <v>#DIV/0!</v>
      </c>
      <c r="G225" s="511" t="e">
        <f t="shared" si="181"/>
        <v>#DIV/0!</v>
      </c>
      <c r="H225" s="511" t="e">
        <f t="shared" si="181"/>
        <v>#DIV/0!</v>
      </c>
      <c r="I225" s="511" t="e">
        <f t="shared" si="181"/>
        <v>#DIV/0!</v>
      </c>
      <c r="J225" s="511" t="e">
        <f t="shared" si="181"/>
        <v>#DIV/0!</v>
      </c>
      <c r="K225" s="511" t="e">
        <f t="shared" si="181"/>
        <v>#DIV/0!</v>
      </c>
      <c r="L225" s="511">
        <v>0</v>
      </c>
      <c r="M225" s="511">
        <v>0</v>
      </c>
      <c r="N225" s="511">
        <v>0</v>
      </c>
    </row>
    <row r="226" spans="1:21" x14ac:dyDescent="0.3">
      <c r="A226" s="463">
        <v>3</v>
      </c>
      <c r="B226" s="477" t="str">
        <f>IF($A$13="","",($A$13))</f>
        <v>Tricleocarpa fragilis</v>
      </c>
      <c r="C226" s="511" t="e">
        <f t="shared" ref="C226:K226" si="182">$C$214*C25</f>
        <v>#DIV/0!</v>
      </c>
      <c r="D226" s="511" t="e">
        <f t="shared" si="182"/>
        <v>#DIV/0!</v>
      </c>
      <c r="E226" s="511" t="e">
        <f t="shared" si="182"/>
        <v>#DIV/0!</v>
      </c>
      <c r="F226" s="511" t="e">
        <f t="shared" si="182"/>
        <v>#DIV/0!</v>
      </c>
      <c r="G226" s="511" t="e">
        <f t="shared" si="182"/>
        <v>#DIV/0!</v>
      </c>
      <c r="H226" s="511" t="e">
        <f t="shared" si="182"/>
        <v>#DIV/0!</v>
      </c>
      <c r="I226" s="511" t="e">
        <f t="shared" si="182"/>
        <v>#DIV/0!</v>
      </c>
      <c r="J226" s="511" t="e">
        <f t="shared" si="182"/>
        <v>#DIV/0!</v>
      </c>
      <c r="K226" s="511" t="e">
        <f t="shared" si="182"/>
        <v>#DIV/0!</v>
      </c>
      <c r="L226" s="511">
        <v>0</v>
      </c>
      <c r="M226" s="511">
        <v>0</v>
      </c>
      <c r="N226" s="511">
        <v>0</v>
      </c>
    </row>
    <row r="227" spans="1:21" x14ac:dyDescent="0.3">
      <c r="A227" s="463">
        <v>4</v>
      </c>
      <c r="B227" s="479" t="str">
        <f>IF($A$14="","",($A$14))</f>
        <v/>
      </c>
      <c r="C227" s="511" t="e">
        <f t="shared" ref="C227:K227" si="183">$C$215*C26</f>
        <v>#DIV/0!</v>
      </c>
      <c r="D227" s="511" t="e">
        <f t="shared" si="183"/>
        <v>#DIV/0!</v>
      </c>
      <c r="E227" s="511" t="e">
        <f t="shared" si="183"/>
        <v>#DIV/0!</v>
      </c>
      <c r="F227" s="511" t="e">
        <f t="shared" si="183"/>
        <v>#DIV/0!</v>
      </c>
      <c r="G227" s="511" t="e">
        <f t="shared" si="183"/>
        <v>#DIV/0!</v>
      </c>
      <c r="H227" s="511" t="e">
        <f t="shared" si="183"/>
        <v>#DIV/0!</v>
      </c>
      <c r="I227" s="511" t="e">
        <f t="shared" si="183"/>
        <v>#DIV/0!</v>
      </c>
      <c r="J227" s="511" t="e">
        <f t="shared" si="183"/>
        <v>#DIV/0!</v>
      </c>
      <c r="K227" s="511" t="e">
        <f t="shared" si="183"/>
        <v>#DIV/0!</v>
      </c>
      <c r="L227" s="511">
        <v>0</v>
      </c>
      <c r="M227" s="511">
        <v>0</v>
      </c>
      <c r="N227" s="511">
        <v>0</v>
      </c>
    </row>
    <row r="228" spans="1:21" x14ac:dyDescent="0.3">
      <c r="A228" s="463">
        <v>5</v>
      </c>
      <c r="B228" s="479" t="str">
        <f>IF($A$15="","",($A$15))</f>
        <v/>
      </c>
      <c r="C228" s="511" t="e">
        <f t="shared" ref="C228:K228" si="184">$C$216*C27</f>
        <v>#DIV/0!</v>
      </c>
      <c r="D228" s="511" t="e">
        <f t="shared" si="184"/>
        <v>#DIV/0!</v>
      </c>
      <c r="E228" s="511" t="e">
        <f t="shared" si="184"/>
        <v>#DIV/0!</v>
      </c>
      <c r="F228" s="511" t="e">
        <f t="shared" si="184"/>
        <v>#DIV/0!</v>
      </c>
      <c r="G228" s="511" t="e">
        <f t="shared" si="184"/>
        <v>#DIV/0!</v>
      </c>
      <c r="H228" s="511" t="e">
        <f t="shared" si="184"/>
        <v>#DIV/0!</v>
      </c>
      <c r="I228" s="511" t="e">
        <f t="shared" si="184"/>
        <v>#DIV/0!</v>
      </c>
      <c r="J228" s="511" t="e">
        <f t="shared" si="184"/>
        <v>#DIV/0!</v>
      </c>
      <c r="K228" s="511" t="e">
        <f t="shared" si="184"/>
        <v>#DIV/0!</v>
      </c>
      <c r="L228" s="511">
        <v>0</v>
      </c>
      <c r="M228" s="511">
        <v>0</v>
      </c>
      <c r="N228" s="511">
        <v>0</v>
      </c>
    </row>
    <row r="229" spans="1:21" x14ac:dyDescent="0.3">
      <c r="A229" s="463">
        <v>6</v>
      </c>
      <c r="B229" s="479" t="str">
        <f>IF($A$16="","",($A$16))</f>
        <v/>
      </c>
      <c r="C229" s="511" t="e">
        <f t="shared" ref="C229:K229" si="185">$C$217*C28</f>
        <v>#DIV/0!</v>
      </c>
      <c r="D229" s="511" t="e">
        <f t="shared" si="185"/>
        <v>#DIV/0!</v>
      </c>
      <c r="E229" s="511" t="e">
        <f t="shared" si="185"/>
        <v>#DIV/0!</v>
      </c>
      <c r="F229" s="511" t="e">
        <f t="shared" si="185"/>
        <v>#DIV/0!</v>
      </c>
      <c r="G229" s="511" t="e">
        <f t="shared" si="185"/>
        <v>#DIV/0!</v>
      </c>
      <c r="H229" s="511" t="e">
        <f t="shared" si="185"/>
        <v>#DIV/0!</v>
      </c>
      <c r="I229" s="511" t="e">
        <f t="shared" si="185"/>
        <v>#DIV/0!</v>
      </c>
      <c r="J229" s="511" t="e">
        <f t="shared" si="185"/>
        <v>#DIV/0!</v>
      </c>
      <c r="K229" s="511" t="e">
        <f t="shared" si="185"/>
        <v>#DIV/0!</v>
      </c>
      <c r="L229" s="511">
        <v>0</v>
      </c>
      <c r="M229" s="511">
        <v>0</v>
      </c>
      <c r="N229" s="511">
        <v>0</v>
      </c>
    </row>
    <row r="230" spans="1:21" x14ac:dyDescent="0.3">
      <c r="A230" s="463">
        <v>7</v>
      </c>
      <c r="B230" s="479" t="str">
        <f>IF($A$17="","",($A$17))</f>
        <v/>
      </c>
      <c r="C230" s="511" t="e">
        <f t="shared" ref="C230:K230" si="186">$C$218*C29</f>
        <v>#DIV/0!</v>
      </c>
      <c r="D230" s="511" t="e">
        <f t="shared" si="186"/>
        <v>#DIV/0!</v>
      </c>
      <c r="E230" s="511" t="e">
        <f t="shared" si="186"/>
        <v>#DIV/0!</v>
      </c>
      <c r="F230" s="511" t="e">
        <f t="shared" si="186"/>
        <v>#DIV/0!</v>
      </c>
      <c r="G230" s="511" t="e">
        <f t="shared" si="186"/>
        <v>#DIV/0!</v>
      </c>
      <c r="H230" s="511" t="e">
        <f t="shared" si="186"/>
        <v>#DIV/0!</v>
      </c>
      <c r="I230" s="511" t="e">
        <f t="shared" si="186"/>
        <v>#DIV/0!</v>
      </c>
      <c r="J230" s="511" t="e">
        <f t="shared" si="186"/>
        <v>#DIV/0!</v>
      </c>
      <c r="K230" s="511" t="e">
        <f t="shared" si="186"/>
        <v>#DIV/0!</v>
      </c>
      <c r="L230" s="511">
        <v>0</v>
      </c>
      <c r="M230" s="511">
        <v>0</v>
      </c>
      <c r="N230" s="511">
        <v>0</v>
      </c>
    </row>
    <row r="231" spans="1:21" x14ac:dyDescent="0.3">
      <c r="A231" s="463">
        <v>8</v>
      </c>
      <c r="B231" s="479" t="str">
        <f>IF($A$18="","",($A$18))</f>
        <v/>
      </c>
      <c r="C231" s="511" t="e">
        <f t="shared" ref="C231:K231" si="187">$C$219*C30</f>
        <v>#DIV/0!</v>
      </c>
      <c r="D231" s="511" t="e">
        <f t="shared" si="187"/>
        <v>#DIV/0!</v>
      </c>
      <c r="E231" s="511" t="e">
        <f t="shared" si="187"/>
        <v>#DIV/0!</v>
      </c>
      <c r="F231" s="511" t="e">
        <f t="shared" si="187"/>
        <v>#DIV/0!</v>
      </c>
      <c r="G231" s="511" t="e">
        <f t="shared" si="187"/>
        <v>#DIV/0!</v>
      </c>
      <c r="H231" s="511" t="e">
        <f t="shared" si="187"/>
        <v>#DIV/0!</v>
      </c>
      <c r="I231" s="511" t="e">
        <f t="shared" si="187"/>
        <v>#DIV/0!</v>
      </c>
      <c r="J231" s="511" t="e">
        <f t="shared" si="187"/>
        <v>#DIV/0!</v>
      </c>
      <c r="K231" s="511" t="e">
        <f t="shared" si="187"/>
        <v>#DIV/0!</v>
      </c>
      <c r="L231" s="511">
        <v>0</v>
      </c>
      <c r="M231" s="511">
        <v>0</v>
      </c>
      <c r="N231" s="511">
        <v>0</v>
      </c>
    </row>
    <row r="232" spans="1:21" x14ac:dyDescent="0.3">
      <c r="A232" s="512"/>
      <c r="B232" s="512"/>
      <c r="C232" s="452"/>
      <c r="D232" s="452"/>
      <c r="E232" s="452"/>
      <c r="F232" s="452"/>
      <c r="G232" s="452"/>
      <c r="H232" s="452"/>
      <c r="I232" s="452"/>
      <c r="J232" s="452"/>
      <c r="K232" s="452"/>
      <c r="L232" s="452"/>
    </row>
    <row r="233" spans="1:21" ht="21" x14ac:dyDescent="0.3">
      <c r="A233" s="446" t="s">
        <v>980</v>
      </c>
      <c r="B233" s="446"/>
      <c r="C233" s="446"/>
      <c r="D233" s="443" t="s">
        <v>783</v>
      </c>
      <c r="O233" s="445" t="s">
        <v>104</v>
      </c>
    </row>
    <row r="234" spans="1:21" ht="21" x14ac:dyDescent="0.3">
      <c r="A234" s="574" t="s">
        <v>981</v>
      </c>
      <c r="B234" s="575"/>
      <c r="C234" s="513" t="str">
        <f>IF($B$4="","",SUM(C224:C231))</f>
        <v/>
      </c>
      <c r="D234" s="513" t="str">
        <f t="shared" ref="D234:N234" si="188">IF($B$4="","",SUM(D224:D231))</f>
        <v/>
      </c>
      <c r="E234" s="513" t="str">
        <f t="shared" si="188"/>
        <v/>
      </c>
      <c r="F234" s="513" t="str">
        <f t="shared" si="188"/>
        <v/>
      </c>
      <c r="G234" s="513" t="str">
        <f t="shared" si="188"/>
        <v/>
      </c>
      <c r="H234" s="513" t="str">
        <f t="shared" si="188"/>
        <v/>
      </c>
      <c r="I234" s="513" t="str">
        <f t="shared" si="188"/>
        <v/>
      </c>
      <c r="J234" s="513" t="str">
        <f t="shared" si="188"/>
        <v/>
      </c>
      <c r="K234" s="513" t="str">
        <f t="shared" si="188"/>
        <v/>
      </c>
      <c r="L234" s="513" t="str">
        <f t="shared" si="188"/>
        <v/>
      </c>
      <c r="M234" s="513" t="str">
        <f t="shared" si="188"/>
        <v/>
      </c>
      <c r="N234" s="513" t="str">
        <f t="shared" si="188"/>
        <v/>
      </c>
      <c r="O234" s="514">
        <f>SUM(C234:M234)</f>
        <v>0</v>
      </c>
      <c r="P234" s="515"/>
      <c r="Q234" s="515"/>
      <c r="R234" s="515"/>
      <c r="S234" s="515"/>
      <c r="T234" s="515"/>
      <c r="U234" s="515"/>
    </row>
    <row r="235" spans="1:21" x14ac:dyDescent="0.3">
      <c r="A235" s="516"/>
      <c r="B235" s="516"/>
      <c r="C235" s="576"/>
      <c r="D235" s="576"/>
      <c r="E235" s="576"/>
      <c r="F235" s="576"/>
      <c r="G235" s="576"/>
    </row>
    <row r="236" spans="1:21" x14ac:dyDescent="0.3">
      <c r="D236" s="443" t="s">
        <v>783</v>
      </c>
      <c r="E236" s="443" t="s">
        <v>783</v>
      </c>
      <c r="H236" s="443" t="s">
        <v>783</v>
      </c>
    </row>
    <row r="237" spans="1:21" x14ac:dyDescent="0.3">
      <c r="B237" s="436" t="s">
        <v>783</v>
      </c>
      <c r="E237" s="443" t="s">
        <v>783</v>
      </c>
    </row>
    <row r="238" spans="1:21" x14ac:dyDescent="0.3">
      <c r="E238" s="443" t="s">
        <v>783</v>
      </c>
      <c r="H238" s="443" t="s">
        <v>783</v>
      </c>
    </row>
    <row r="239" spans="1:21" x14ac:dyDescent="0.3">
      <c r="D239" s="443" t="s">
        <v>783</v>
      </c>
      <c r="F239" s="443" t="s">
        <v>783</v>
      </c>
    </row>
    <row r="240" spans="1:21" x14ac:dyDescent="0.3">
      <c r="B240" s="436" t="s">
        <v>783</v>
      </c>
      <c r="G240" s="443" t="s">
        <v>783</v>
      </c>
    </row>
    <row r="241" spans="4:5" x14ac:dyDescent="0.3">
      <c r="D241" s="443" t="s">
        <v>783</v>
      </c>
      <c r="E241" s="443" t="s">
        <v>783</v>
      </c>
    </row>
    <row r="242" spans="4:5" x14ac:dyDescent="0.3">
      <c r="E242" s="443" t="s">
        <v>783</v>
      </c>
    </row>
    <row r="264" spans="13:13" x14ac:dyDescent="0.3">
      <c r="M264" s="443"/>
    </row>
  </sheetData>
  <mergeCells count="41">
    <mergeCell ref="A8:C8"/>
    <mergeCell ref="A9:B10"/>
    <mergeCell ref="C9:C10"/>
    <mergeCell ref="D9:F9"/>
    <mergeCell ref="H9:I10"/>
    <mergeCell ref="E10:F10"/>
    <mergeCell ref="E11:F11"/>
    <mergeCell ref="H11:I11"/>
    <mergeCell ref="A11:B11"/>
    <mergeCell ref="E12:F12"/>
    <mergeCell ref="H12:I12"/>
    <mergeCell ref="A12:B12"/>
    <mergeCell ref="A13:B13"/>
    <mergeCell ref="E13:F13"/>
    <mergeCell ref="H13:I13"/>
    <mergeCell ref="A14:B14"/>
    <mergeCell ref="E14:F14"/>
    <mergeCell ref="H14:I14"/>
    <mergeCell ref="E15:F15"/>
    <mergeCell ref="H15:I15"/>
    <mergeCell ref="A16:B16"/>
    <mergeCell ref="E16:F16"/>
    <mergeCell ref="H16:I16"/>
    <mergeCell ref="A15:B15"/>
    <mergeCell ref="E17:F17"/>
    <mergeCell ref="H17:I17"/>
    <mergeCell ref="A18:B18"/>
    <mergeCell ref="E18:F18"/>
    <mergeCell ref="H18:I18"/>
    <mergeCell ref="A20:C20"/>
    <mergeCell ref="A21:A22"/>
    <mergeCell ref="B21:B22"/>
    <mergeCell ref="A209:B209"/>
    <mergeCell ref="A17:B17"/>
    <mergeCell ref="A234:B234"/>
    <mergeCell ref="C235:G235"/>
    <mergeCell ref="A210:A211"/>
    <mergeCell ref="B210:B211"/>
    <mergeCell ref="C210:C211"/>
    <mergeCell ref="A222:A223"/>
    <mergeCell ref="B222:B223"/>
  </mergeCells>
  <phoneticPr fontId="18" type="noConversion"/>
  <pageMargins left="0.7" right="0.7" top="0.75" bottom="0.75" header="0.3" footer="0.3"/>
  <pageSetup paperSize="9" orientation="portrait" r:id="rId1"/>
  <tableParts count="10">
    <tablePart r:id="rId2"/>
    <tablePart r:id="rId3"/>
    <tablePart r:id="rId4"/>
    <tablePart r:id="rId5"/>
    <tablePart r:id="rId6"/>
    <tablePart r:id="rId7"/>
    <tablePart r:id="rId8"/>
    <tablePart r:id="rId9"/>
    <tablePart r:id="rId10"/>
    <tablePart r:id="rId1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05181-263B-4FB5-AD8F-677D4EE1AC10}">
  <sheetPr codeName="Sheet10">
    <tabColor theme="0" tint="-0.249977111117893"/>
  </sheetPr>
  <dimension ref="A1:AG8"/>
  <sheetViews>
    <sheetView workbookViewId="0">
      <selection activeCell="H11" sqref="H11"/>
    </sheetView>
  </sheetViews>
  <sheetFormatPr defaultColWidth="8.85546875" defaultRowHeight="15" x14ac:dyDescent="0.25"/>
  <cols>
    <col min="1" max="1" width="20" bestFit="1" customWidth="1"/>
    <col min="2" max="2" width="26.42578125" bestFit="1" customWidth="1"/>
    <col min="3" max="3" width="19.42578125" customWidth="1"/>
    <col min="4" max="4" width="15.140625" customWidth="1"/>
    <col min="5" max="5" width="31.7109375" bestFit="1" customWidth="1"/>
    <col min="8" max="8" width="31.7109375" bestFit="1" customWidth="1"/>
    <col min="21" max="21" width="6.5703125" bestFit="1" customWidth="1"/>
    <col min="22" max="22" width="31.7109375" bestFit="1" customWidth="1"/>
  </cols>
  <sheetData>
    <row r="1" spans="1:33" ht="16.5" x14ac:dyDescent="0.3">
      <c r="C1" s="79" t="s">
        <v>365</v>
      </c>
    </row>
    <row r="2" spans="1:33" s="3" customFormat="1" ht="16.5" x14ac:dyDescent="0.3">
      <c r="A2" s="23" t="s">
        <v>861</v>
      </c>
      <c r="D2" s="79"/>
      <c r="E2" s="79"/>
      <c r="F2" s="79"/>
      <c r="G2" s="79"/>
      <c r="H2" s="79"/>
      <c r="I2" s="79"/>
      <c r="J2" s="557" t="s">
        <v>366</v>
      </c>
      <c r="K2" s="557"/>
      <c r="L2" s="557"/>
      <c r="M2" s="557"/>
      <c r="N2" s="557"/>
      <c r="O2" s="557"/>
      <c r="P2" s="557"/>
      <c r="Q2" s="557"/>
      <c r="R2" s="557"/>
      <c r="S2" s="557"/>
      <c r="T2" s="557"/>
      <c r="U2" s="557"/>
      <c r="V2" s="28"/>
      <c r="W2" s="28"/>
      <c r="AC2" s="22"/>
    </row>
    <row r="3" spans="1:33" s="3" customFormat="1" ht="16.5" x14ac:dyDescent="0.3">
      <c r="A3" s="41"/>
      <c r="C3" s="28"/>
      <c r="D3" s="70"/>
      <c r="E3" s="12"/>
      <c r="F3" s="12"/>
      <c r="G3" s="124"/>
      <c r="J3" s="39" t="s">
        <v>103</v>
      </c>
      <c r="K3" s="39" t="s">
        <v>68</v>
      </c>
      <c r="L3" s="330" t="s">
        <v>69</v>
      </c>
      <c r="M3" s="39" t="s">
        <v>70</v>
      </c>
      <c r="N3" s="39" t="s">
        <v>71</v>
      </c>
      <c r="O3" s="39" t="s">
        <v>72</v>
      </c>
      <c r="P3" s="39" t="s">
        <v>73</v>
      </c>
      <c r="Q3" s="39" t="s">
        <v>74</v>
      </c>
      <c r="R3" s="39" t="s">
        <v>75</v>
      </c>
      <c r="S3" s="39" t="s">
        <v>76</v>
      </c>
      <c r="T3" s="39" t="s">
        <v>77</v>
      </c>
      <c r="U3" s="39" t="s">
        <v>78</v>
      </c>
      <c r="X3" s="28"/>
      <c r="Y3" s="28"/>
      <c r="Z3" s="28"/>
      <c r="AA3" s="28"/>
      <c r="AG3" s="22"/>
    </row>
    <row r="4" spans="1:33" s="98" customFormat="1" ht="49.5" x14ac:dyDescent="0.3">
      <c r="A4" s="176" t="s">
        <v>44</v>
      </c>
      <c r="B4" s="176" t="s">
        <v>172</v>
      </c>
      <c r="C4"/>
      <c r="D4" s="244" t="s">
        <v>791</v>
      </c>
      <c r="E4" s="176" t="s">
        <v>368</v>
      </c>
      <c r="F4"/>
      <c r="G4" s="189" t="s">
        <v>789</v>
      </c>
      <c r="H4" s="176" t="s">
        <v>154</v>
      </c>
      <c r="I4"/>
      <c r="J4" s="162" t="s">
        <v>80</v>
      </c>
      <c r="K4" s="162" t="s">
        <v>81</v>
      </c>
      <c r="L4" s="162" t="s">
        <v>133</v>
      </c>
      <c r="M4" s="162" t="s">
        <v>134</v>
      </c>
      <c r="N4" s="162" t="s">
        <v>84</v>
      </c>
      <c r="O4" s="162" t="s">
        <v>85</v>
      </c>
      <c r="P4" s="162" t="s">
        <v>86</v>
      </c>
      <c r="Q4" s="162" t="s">
        <v>87</v>
      </c>
      <c r="R4" s="162" t="s">
        <v>88</v>
      </c>
      <c r="S4" s="162" t="s">
        <v>89</v>
      </c>
      <c r="T4" s="162" t="s">
        <v>90</v>
      </c>
      <c r="U4" s="328" t="s">
        <v>91</v>
      </c>
      <c r="V4" s="162" t="s">
        <v>370</v>
      </c>
      <c r="X4" s="23"/>
      <c r="Y4" s="23"/>
      <c r="Z4" s="23"/>
      <c r="AA4" s="23"/>
      <c r="AG4" s="190"/>
    </row>
    <row r="5" spans="1:33" s="98" customFormat="1" ht="16.5" x14ac:dyDescent="0.3">
      <c r="A5" s="369" t="s">
        <v>141</v>
      </c>
      <c r="B5" s="8" t="s">
        <v>196</v>
      </c>
      <c r="C5"/>
      <c r="D5" s="8">
        <v>0.28772500000000001</v>
      </c>
      <c r="E5" s="8" t="s">
        <v>942</v>
      </c>
      <c r="F5"/>
      <c r="G5" s="8">
        <v>6.9117600000000001E-2</v>
      </c>
      <c r="H5" s="8" t="s">
        <v>769</v>
      </c>
      <c r="I5"/>
      <c r="J5" s="8">
        <v>5.9220623999999998E-3</v>
      </c>
      <c r="K5" s="8">
        <v>0.19570826120000001</v>
      </c>
      <c r="L5" s="8">
        <v>0.27859411610000001</v>
      </c>
      <c r="M5" s="8">
        <v>0.19304089860000001</v>
      </c>
      <c r="N5" s="8">
        <v>4.7359822900000001E-2</v>
      </c>
      <c r="O5" s="8">
        <v>8.0911908000000001E-3</v>
      </c>
      <c r="P5" s="8">
        <v>1.8444575E-3</v>
      </c>
      <c r="Q5" s="8">
        <v>5.8351500000000005E-4</v>
      </c>
      <c r="R5" s="8">
        <v>0.26885567539999999</v>
      </c>
      <c r="S5" s="8">
        <v>0</v>
      </c>
      <c r="T5" s="8">
        <v>0</v>
      </c>
      <c r="U5" s="8">
        <v>0</v>
      </c>
      <c r="V5" s="8" t="s">
        <v>769</v>
      </c>
      <c r="Y5" s="23"/>
      <c r="Z5" s="23"/>
      <c r="AA5" s="23"/>
      <c r="AG5" s="190"/>
    </row>
    <row r="6" spans="1:33" ht="16.5" x14ac:dyDescent="0.3">
      <c r="A6" s="369" t="s">
        <v>142</v>
      </c>
      <c r="B6" s="8" t="s">
        <v>196</v>
      </c>
      <c r="D6" s="8">
        <v>0.16539000000000001</v>
      </c>
      <c r="E6" s="8" t="s">
        <v>942</v>
      </c>
      <c r="G6" s="8">
        <v>4.785565E-2</v>
      </c>
      <c r="H6" s="8" t="s">
        <v>769</v>
      </c>
      <c r="J6" s="8">
        <v>0.25524514030000001</v>
      </c>
      <c r="K6" s="8">
        <v>0.39285907799999997</v>
      </c>
      <c r="L6" s="8">
        <v>0.16242662359999999</v>
      </c>
      <c r="M6" s="8">
        <v>3.62576987E-2</v>
      </c>
      <c r="N6" s="8">
        <v>6.5441281000000002E-3</v>
      </c>
      <c r="O6" s="8">
        <v>1.8690935E-3</v>
      </c>
      <c r="P6" s="8">
        <v>6.8577639999999995E-4</v>
      </c>
      <c r="Q6" s="8">
        <v>2.643255E-4</v>
      </c>
      <c r="R6" s="8">
        <v>0.14384813599999999</v>
      </c>
      <c r="S6" s="8">
        <v>0</v>
      </c>
      <c r="T6" s="8">
        <v>0</v>
      </c>
      <c r="U6" s="8">
        <v>0</v>
      </c>
      <c r="V6" s="8" t="s">
        <v>769</v>
      </c>
      <c r="W6" s="98"/>
      <c r="X6" s="98"/>
    </row>
    <row r="7" spans="1:33" ht="16.5" x14ac:dyDescent="0.3">
      <c r="A7" s="369" t="s">
        <v>140</v>
      </c>
      <c r="B7" s="8" t="s">
        <v>196</v>
      </c>
      <c r="D7" s="8">
        <v>0.1709</v>
      </c>
      <c r="E7" s="8" t="s">
        <v>942</v>
      </c>
      <c r="G7" s="8">
        <v>2.4434170000000002E-2</v>
      </c>
      <c r="H7" s="8" t="s">
        <v>769</v>
      </c>
      <c r="J7" s="8">
        <v>0</v>
      </c>
      <c r="K7" s="8">
        <v>9.9315540000000004E-4</v>
      </c>
      <c r="L7" s="8">
        <v>1.5816535900000001E-2</v>
      </c>
      <c r="M7" s="8">
        <v>3.5953699200000001E-2</v>
      </c>
      <c r="N7" s="8">
        <v>5.9783698599999997E-2</v>
      </c>
      <c r="O7" s="8">
        <v>4.8355659299999999E-2</v>
      </c>
      <c r="P7" s="8">
        <v>5.8617232599999999E-2</v>
      </c>
      <c r="Q7" s="8">
        <v>4.9910253100000003E-2</v>
      </c>
      <c r="R7" s="8">
        <v>0.73056976579999999</v>
      </c>
      <c r="S7" s="8">
        <v>0</v>
      </c>
      <c r="T7" s="8">
        <v>0</v>
      </c>
      <c r="U7" s="8">
        <v>0</v>
      </c>
      <c r="V7" s="8" t="s">
        <v>769</v>
      </c>
      <c r="W7" s="98"/>
      <c r="X7" s="98"/>
    </row>
    <row r="8" spans="1:33" ht="16.5" x14ac:dyDescent="0.3">
      <c r="W8" s="98"/>
      <c r="X8" s="98"/>
    </row>
  </sheetData>
  <mergeCells count="1">
    <mergeCell ref="J2:U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2D89E-2FDB-4B6F-BEBD-D011CCBE6338}">
  <sheetPr codeName="Sheet11"/>
  <dimension ref="A1:AM229"/>
  <sheetViews>
    <sheetView zoomScale="62" zoomScaleNormal="62" workbookViewId="0">
      <selection activeCell="E205" sqref="E205"/>
    </sheetView>
  </sheetViews>
  <sheetFormatPr defaultRowHeight="18.75" x14ac:dyDescent="0.3"/>
  <cols>
    <col min="1" max="1" width="23.85546875" style="438" customWidth="1"/>
    <col min="2" max="2" width="52.140625" style="436" customWidth="1"/>
    <col min="3" max="4" width="23.28515625" style="443" customWidth="1"/>
    <col min="5" max="5" width="20.42578125" style="443" customWidth="1"/>
    <col min="6" max="6" width="31.5703125" style="443" customWidth="1"/>
    <col min="7" max="7" width="18.5703125" style="443" customWidth="1"/>
    <col min="8" max="9" width="28.28515625" style="443" customWidth="1"/>
    <col min="10" max="10" width="30.140625" style="443" bestFit="1" customWidth="1"/>
    <col min="11" max="11" width="29.140625" style="443" bestFit="1" customWidth="1"/>
    <col min="12" max="12" width="18.5703125" style="443" bestFit="1" customWidth="1"/>
    <col min="13" max="13" width="21.5703125" style="451" customWidth="1"/>
    <col min="14" max="14" width="14.85546875" style="451" customWidth="1"/>
    <col min="15" max="15" width="21.7109375" style="443" customWidth="1"/>
    <col min="16" max="23" width="14.85546875" style="451" customWidth="1"/>
    <col min="24" max="25" width="14.85546875" style="443" customWidth="1"/>
    <col min="26" max="26" width="16.7109375" style="443" customWidth="1"/>
    <col min="27" max="27" width="14.7109375" style="443" customWidth="1"/>
    <col min="28" max="28" width="17.28515625" style="443" customWidth="1"/>
    <col min="29" max="29" width="18.7109375" style="435" customWidth="1"/>
    <col min="30" max="31" width="18.7109375" style="436" customWidth="1"/>
    <col min="32" max="35" width="18.7109375" style="437" customWidth="1"/>
    <col min="36" max="37" width="18.7109375" style="436" customWidth="1"/>
    <col min="38" max="38" width="18.7109375" style="438" customWidth="1"/>
    <col min="39" max="39" width="14.7109375" style="438" customWidth="1"/>
    <col min="40" max="40" width="16.7109375" style="438" customWidth="1"/>
    <col min="41" max="16384" width="9.140625" style="438"/>
  </cols>
  <sheetData>
    <row r="1" spans="1:39" x14ac:dyDescent="0.3">
      <c r="A1" s="431" t="s">
        <v>148</v>
      </c>
      <c r="B1" s="432" t="s">
        <v>149</v>
      </c>
      <c r="C1" s="432"/>
      <c r="D1" s="226"/>
      <c r="E1" s="226"/>
      <c r="F1" s="226"/>
      <c r="G1" s="226"/>
      <c r="H1" s="226"/>
      <c r="I1" s="226"/>
      <c r="J1" s="226"/>
      <c r="K1" s="226"/>
      <c r="L1" s="226"/>
      <c r="M1" s="434"/>
      <c r="N1" s="434"/>
      <c r="O1" s="226"/>
      <c r="P1" s="434"/>
      <c r="Q1" s="434"/>
      <c r="R1" s="434"/>
      <c r="S1" s="434"/>
      <c r="T1" s="434"/>
      <c r="U1" s="434"/>
      <c r="V1" s="452"/>
      <c r="W1" s="452"/>
      <c r="X1" s="226"/>
      <c r="Y1" s="226"/>
      <c r="Z1" s="226"/>
      <c r="AA1" s="226"/>
      <c r="AB1" s="226"/>
    </row>
    <row r="2" spans="1:39" x14ac:dyDescent="0.3">
      <c r="B2" s="439" t="s">
        <v>5</v>
      </c>
      <c r="C2" s="439"/>
      <c r="D2" s="226"/>
      <c r="E2" s="226"/>
      <c r="F2" s="226"/>
      <c r="G2" s="226"/>
      <c r="H2" s="226"/>
      <c r="I2" s="226"/>
      <c r="J2" s="226"/>
      <c r="K2" s="226"/>
      <c r="L2" s="226"/>
      <c r="M2" s="434"/>
      <c r="N2" s="434"/>
      <c r="O2" s="226"/>
      <c r="P2" s="434"/>
      <c r="Q2" s="434"/>
      <c r="R2" s="434"/>
      <c r="S2" s="434"/>
      <c r="T2" s="434"/>
      <c r="U2" s="434"/>
      <c r="V2" s="452"/>
      <c r="W2" s="452"/>
      <c r="X2" s="226"/>
      <c r="Y2" s="226"/>
      <c r="Z2" s="226"/>
      <c r="AA2" s="226"/>
      <c r="AB2" s="226"/>
    </row>
    <row r="3" spans="1:39" x14ac:dyDescent="0.3">
      <c r="A3" s="226"/>
      <c r="B3" s="226"/>
      <c r="C3" s="438"/>
      <c r="D3" s="436"/>
      <c r="E3" s="226"/>
      <c r="F3" s="226"/>
      <c r="G3" s="226"/>
      <c r="H3" s="226"/>
      <c r="I3" s="226"/>
      <c r="J3" s="226"/>
      <c r="K3" s="226"/>
      <c r="L3" s="226"/>
      <c r="M3" s="434"/>
      <c r="N3" s="434"/>
      <c r="O3" s="226"/>
      <c r="P3" s="434"/>
      <c r="Q3" s="434"/>
      <c r="R3" s="434"/>
      <c r="S3" s="434"/>
      <c r="T3" s="434"/>
      <c r="U3" s="434"/>
      <c r="V3" s="452"/>
      <c r="W3" s="452"/>
      <c r="X3" s="226"/>
      <c r="Y3" s="226"/>
      <c r="Z3" s="226"/>
      <c r="AA3" s="226"/>
      <c r="AB3" s="226"/>
    </row>
    <row r="4" spans="1:39" x14ac:dyDescent="0.3">
      <c r="A4" s="441" t="s">
        <v>6</v>
      </c>
      <c r="B4" s="442"/>
      <c r="C4" s="226"/>
      <c r="D4" s="226"/>
      <c r="E4" s="226"/>
      <c r="F4" s="226"/>
      <c r="G4" s="226"/>
      <c r="H4" s="226"/>
      <c r="I4" s="226"/>
      <c r="J4" s="226"/>
      <c r="K4" s="226"/>
      <c r="L4" s="226"/>
      <c r="M4" s="434"/>
      <c r="N4" s="434"/>
      <c r="O4" s="226"/>
      <c r="P4" s="434"/>
      <c r="Q4" s="434"/>
      <c r="R4" s="434"/>
      <c r="S4" s="434"/>
      <c r="T4" s="434"/>
      <c r="U4" s="434"/>
      <c r="V4" s="452"/>
      <c r="W4" s="452"/>
      <c r="X4" s="226"/>
      <c r="Y4" s="226"/>
      <c r="Z4" s="226"/>
      <c r="AA4" s="226"/>
      <c r="AB4" s="226"/>
    </row>
    <row r="5" spans="1:39" x14ac:dyDescent="0.3">
      <c r="A5" s="441" t="s">
        <v>7</v>
      </c>
      <c r="B5" s="442"/>
      <c r="C5" s="226"/>
      <c r="D5" s="226"/>
      <c r="E5" s="226"/>
      <c r="F5" s="226"/>
      <c r="G5" s="226"/>
      <c r="H5" s="226"/>
      <c r="I5" s="226"/>
      <c r="J5" s="226"/>
      <c r="K5" s="226"/>
      <c r="L5" s="226"/>
      <c r="M5" s="434"/>
      <c r="N5" s="434"/>
      <c r="O5" s="226"/>
      <c r="P5" s="434"/>
      <c r="Q5" s="434"/>
      <c r="R5" s="434"/>
      <c r="S5" s="434"/>
      <c r="T5" s="434"/>
      <c r="U5" s="434"/>
      <c r="V5" s="452"/>
      <c r="W5" s="452"/>
      <c r="X5" s="226"/>
      <c r="Y5" s="226"/>
      <c r="Z5" s="226"/>
      <c r="AA5" s="226"/>
      <c r="AB5" s="226"/>
    </row>
    <row r="6" spans="1:39" ht="21" x14ac:dyDescent="0.3">
      <c r="A6" s="441" t="s">
        <v>971</v>
      </c>
      <c r="B6" s="442"/>
      <c r="C6" s="226" t="s">
        <v>835</v>
      </c>
      <c r="D6" s="444"/>
      <c r="E6" s="226"/>
      <c r="F6" s="226"/>
      <c r="G6" s="226"/>
      <c r="H6" s="226"/>
      <c r="I6" s="226"/>
      <c r="J6" s="226"/>
      <c r="K6" s="226"/>
      <c r="L6" s="226"/>
      <c r="M6" s="434"/>
      <c r="N6" s="434"/>
      <c r="O6" s="226"/>
      <c r="P6" s="434"/>
      <c r="Q6" s="434"/>
      <c r="R6" s="434"/>
      <c r="S6" s="434"/>
      <c r="T6" s="434"/>
      <c r="U6" s="434"/>
      <c r="V6" s="452"/>
      <c r="W6" s="452"/>
      <c r="X6" s="226"/>
      <c r="Y6" s="226"/>
      <c r="Z6" s="226"/>
      <c r="AA6" s="226"/>
      <c r="AB6" s="226"/>
    </row>
    <row r="7" spans="1:39" ht="13.15" customHeight="1" x14ac:dyDescent="0.3">
      <c r="A7" s="431"/>
      <c r="B7" s="445"/>
      <c r="C7" s="226"/>
      <c r="D7" s="444"/>
      <c r="E7" s="226"/>
      <c r="F7" s="226"/>
      <c r="G7" s="226"/>
      <c r="H7" s="226"/>
      <c r="I7" s="226"/>
      <c r="J7" s="226"/>
      <c r="K7" s="226"/>
      <c r="L7" s="226"/>
      <c r="M7" s="434"/>
      <c r="N7" s="434"/>
      <c r="O7" s="226"/>
      <c r="P7" s="434"/>
      <c r="Q7" s="434"/>
      <c r="R7" s="434"/>
      <c r="S7" s="434"/>
      <c r="T7" s="434"/>
      <c r="U7" s="434"/>
      <c r="V7" s="452"/>
      <c r="W7" s="452"/>
      <c r="X7" s="226"/>
      <c r="Y7" s="226"/>
      <c r="Z7" s="226"/>
      <c r="AA7" s="226"/>
      <c r="AB7" s="226"/>
    </row>
    <row r="8" spans="1:39" x14ac:dyDescent="0.3">
      <c r="A8" s="582" t="s">
        <v>944</v>
      </c>
      <c r="B8" s="582"/>
      <c r="C8" s="582"/>
      <c r="D8" s="599" t="s">
        <v>877</v>
      </c>
      <c r="E8" s="599"/>
      <c r="F8" s="599"/>
      <c r="G8" s="599"/>
      <c r="H8" s="599"/>
      <c r="I8" s="599"/>
      <c r="J8" s="599"/>
      <c r="K8" s="599"/>
      <c r="L8" s="599"/>
      <c r="M8" s="450"/>
      <c r="N8" s="450"/>
      <c r="V8" s="452"/>
      <c r="W8" s="452"/>
      <c r="X8" s="452"/>
      <c r="Y8" s="452"/>
      <c r="Z8" s="452"/>
      <c r="AL8" s="453"/>
      <c r="AM8" s="453"/>
    </row>
    <row r="9" spans="1:39" x14ac:dyDescent="0.3">
      <c r="A9" s="589" t="s">
        <v>44</v>
      </c>
      <c r="B9" s="590"/>
      <c r="C9" s="593" t="s">
        <v>151</v>
      </c>
      <c r="D9" s="595" t="s">
        <v>152</v>
      </c>
      <c r="E9" s="596"/>
      <c r="F9" s="597"/>
      <c r="G9" s="600" t="s">
        <v>153</v>
      </c>
      <c r="H9" s="593" t="s">
        <v>154</v>
      </c>
      <c r="I9" s="593"/>
      <c r="J9" s="580" t="s">
        <v>984</v>
      </c>
      <c r="K9" s="593" t="s">
        <v>154</v>
      </c>
      <c r="L9" s="593"/>
      <c r="M9" s="580" t="s">
        <v>982</v>
      </c>
      <c r="V9" s="452"/>
      <c r="W9" s="452"/>
    </row>
    <row r="10" spans="1:39" s="462" customFormat="1" ht="58.15" customHeight="1" x14ac:dyDescent="0.25">
      <c r="A10" s="591"/>
      <c r="B10" s="592"/>
      <c r="C10" s="594"/>
      <c r="D10" s="518" t="s">
        <v>983</v>
      </c>
      <c r="E10" s="598" t="s">
        <v>154</v>
      </c>
      <c r="F10" s="598"/>
      <c r="G10" s="601"/>
      <c r="H10" s="594"/>
      <c r="I10" s="594"/>
      <c r="J10" s="581"/>
      <c r="K10" s="594"/>
      <c r="L10" s="594"/>
      <c r="M10" s="581"/>
      <c r="N10" s="458"/>
      <c r="O10" s="459"/>
      <c r="P10" s="458"/>
      <c r="Q10" s="458"/>
      <c r="R10" s="458"/>
      <c r="S10" s="458"/>
      <c r="T10" s="458"/>
      <c r="U10" s="458"/>
      <c r="V10" s="452"/>
      <c r="W10" s="452"/>
      <c r="X10" s="459"/>
      <c r="Y10" s="459"/>
      <c r="Z10" s="459"/>
      <c r="AA10" s="459"/>
      <c r="AB10" s="459"/>
      <c r="AC10" s="459"/>
      <c r="AD10" s="460"/>
      <c r="AE10" s="460"/>
      <c r="AF10" s="460"/>
      <c r="AG10" s="460"/>
      <c r="AH10" s="459"/>
      <c r="AI10" s="459"/>
      <c r="AJ10" s="461"/>
      <c r="AK10" s="461"/>
    </row>
    <row r="11" spans="1:39" x14ac:dyDescent="0.3">
      <c r="A11" s="584"/>
      <c r="B11" s="585"/>
      <c r="C11" s="463">
        <v>1</v>
      </c>
      <c r="D11" s="470"/>
      <c r="E11" s="587"/>
      <c r="F11" s="588"/>
      <c r="G11" s="472"/>
      <c r="H11" s="587"/>
      <c r="I11" s="588"/>
      <c r="J11" s="464"/>
      <c r="K11" s="587"/>
      <c r="L11" s="588"/>
      <c r="M11" s="471"/>
      <c r="N11" s="450"/>
      <c r="O11" s="436"/>
      <c r="P11" s="450"/>
      <c r="Q11" s="450"/>
      <c r="R11" s="450"/>
      <c r="S11" s="450"/>
      <c r="T11" s="450"/>
      <c r="U11" s="450"/>
      <c r="V11" s="452"/>
      <c r="W11" s="452"/>
      <c r="X11" s="436"/>
      <c r="Y11" s="436"/>
      <c r="Z11" s="436"/>
      <c r="AA11" s="445"/>
      <c r="AB11" s="431"/>
      <c r="AC11" s="431"/>
      <c r="AD11" s="466"/>
      <c r="AE11" s="466"/>
      <c r="AF11" s="466"/>
      <c r="AG11" s="466"/>
      <c r="AH11" s="431"/>
      <c r="AI11" s="431"/>
      <c r="AJ11" s="467"/>
      <c r="AK11" s="467"/>
    </row>
    <row r="12" spans="1:39" x14ac:dyDescent="0.3">
      <c r="A12" s="584"/>
      <c r="B12" s="585"/>
      <c r="C12" s="463">
        <v>2</v>
      </c>
      <c r="D12" s="470"/>
      <c r="E12" s="587"/>
      <c r="F12" s="588"/>
      <c r="G12" s="472"/>
      <c r="H12" s="586"/>
      <c r="I12" s="586"/>
      <c r="J12" s="464"/>
      <c r="K12" s="587"/>
      <c r="L12" s="588"/>
      <c r="M12" s="471"/>
      <c r="N12" s="468"/>
      <c r="O12" s="469"/>
      <c r="P12" s="468"/>
      <c r="Q12" s="468"/>
      <c r="R12" s="468"/>
      <c r="S12" s="468"/>
      <c r="T12" s="468"/>
      <c r="U12" s="468"/>
      <c r="V12" s="452"/>
      <c r="W12" s="452"/>
      <c r="X12" s="469"/>
      <c r="Y12" s="469"/>
      <c r="Z12" s="469"/>
      <c r="AA12" s="445"/>
      <c r="AB12" s="431"/>
      <c r="AC12" s="431"/>
      <c r="AD12" s="466"/>
      <c r="AE12" s="466"/>
      <c r="AF12" s="466"/>
      <c r="AG12" s="466"/>
      <c r="AH12" s="431"/>
      <c r="AI12" s="431"/>
      <c r="AJ12" s="467"/>
      <c r="AK12" s="467"/>
    </row>
    <row r="13" spans="1:39" x14ac:dyDescent="0.3">
      <c r="A13" s="584"/>
      <c r="B13" s="585"/>
      <c r="C13" s="463">
        <v>3</v>
      </c>
      <c r="D13" s="470"/>
      <c r="E13" s="586"/>
      <c r="F13" s="586"/>
      <c r="G13" s="472"/>
      <c r="H13" s="586"/>
      <c r="I13" s="586"/>
      <c r="J13" s="464"/>
      <c r="K13" s="586"/>
      <c r="L13" s="586"/>
      <c r="M13" s="471"/>
      <c r="N13" s="450"/>
      <c r="O13" s="436"/>
      <c r="P13" s="450"/>
      <c r="Q13" s="450"/>
      <c r="R13" s="450"/>
      <c r="S13" s="450"/>
      <c r="T13" s="450"/>
      <c r="U13" s="450"/>
      <c r="V13" s="452"/>
      <c r="W13" s="452"/>
      <c r="X13" s="436"/>
      <c r="Y13" s="436"/>
      <c r="Z13" s="436"/>
      <c r="AA13" s="445"/>
      <c r="AB13" s="431"/>
      <c r="AC13" s="431"/>
      <c r="AD13" s="466"/>
      <c r="AE13" s="466"/>
      <c r="AF13" s="466"/>
      <c r="AG13" s="466"/>
      <c r="AH13" s="431"/>
      <c r="AI13" s="431"/>
      <c r="AJ13" s="467"/>
      <c r="AK13" s="467"/>
    </row>
    <row r="14" spans="1:39" x14ac:dyDescent="0.3">
      <c r="A14" s="584"/>
      <c r="B14" s="585"/>
      <c r="C14" s="463">
        <v>4</v>
      </c>
      <c r="D14" s="470"/>
      <c r="E14" s="586"/>
      <c r="F14" s="586"/>
      <c r="G14" s="472"/>
      <c r="H14" s="586"/>
      <c r="I14" s="586"/>
      <c r="J14" s="464"/>
      <c r="K14" s="586"/>
      <c r="L14" s="586"/>
      <c r="M14" s="471"/>
      <c r="N14" s="450"/>
      <c r="O14" s="436"/>
      <c r="P14" s="450"/>
      <c r="Q14" s="450"/>
      <c r="R14" s="450"/>
      <c r="S14" s="450"/>
      <c r="T14" s="450"/>
      <c r="U14" s="450"/>
      <c r="V14" s="452"/>
      <c r="W14" s="452"/>
      <c r="X14" s="436"/>
      <c r="Y14" s="436"/>
      <c r="Z14" s="436"/>
      <c r="AA14" s="445"/>
      <c r="AB14" s="431"/>
      <c r="AC14" s="431"/>
      <c r="AD14" s="466"/>
      <c r="AE14" s="466"/>
      <c r="AF14" s="466"/>
      <c r="AG14" s="466"/>
      <c r="AH14" s="431"/>
      <c r="AI14" s="431"/>
      <c r="AJ14" s="467"/>
      <c r="AK14" s="467"/>
    </row>
    <row r="15" spans="1:39" x14ac:dyDescent="0.3">
      <c r="A15" s="584"/>
      <c r="B15" s="585"/>
      <c r="C15" s="463">
        <v>5</v>
      </c>
      <c r="D15" s="470"/>
      <c r="E15" s="586"/>
      <c r="F15" s="586"/>
      <c r="G15" s="472"/>
      <c r="H15" s="586"/>
      <c r="I15" s="586"/>
      <c r="J15" s="464"/>
      <c r="K15" s="586"/>
      <c r="L15" s="586"/>
      <c r="M15" s="471"/>
      <c r="N15" s="450"/>
      <c r="O15" s="436"/>
      <c r="P15" s="450"/>
      <c r="Q15" s="450"/>
      <c r="R15" s="450"/>
      <c r="S15" s="450"/>
      <c r="T15" s="450"/>
      <c r="U15" s="450"/>
      <c r="V15" s="452"/>
      <c r="W15" s="452"/>
      <c r="X15" s="436"/>
      <c r="Y15" s="436"/>
      <c r="Z15" s="436"/>
      <c r="AA15" s="445"/>
      <c r="AB15" s="431"/>
      <c r="AC15" s="431"/>
      <c r="AD15" s="466"/>
      <c r="AE15" s="466"/>
      <c r="AF15" s="466"/>
      <c r="AG15" s="466"/>
      <c r="AH15" s="431"/>
      <c r="AI15" s="431"/>
      <c r="AJ15" s="467"/>
      <c r="AK15" s="467"/>
    </row>
    <row r="16" spans="1:39" x14ac:dyDescent="0.3">
      <c r="A16" s="584"/>
      <c r="B16" s="585"/>
      <c r="C16" s="463">
        <v>6</v>
      </c>
      <c r="D16" s="470"/>
      <c r="E16" s="586"/>
      <c r="F16" s="586"/>
      <c r="G16" s="472"/>
      <c r="H16" s="586"/>
      <c r="I16" s="586"/>
      <c r="J16" s="464"/>
      <c r="K16" s="586"/>
      <c r="L16" s="586"/>
      <c r="M16" s="471"/>
      <c r="N16" s="450"/>
      <c r="O16" s="436"/>
      <c r="P16" s="450"/>
      <c r="Q16" s="450"/>
      <c r="R16" s="450"/>
      <c r="S16" s="450"/>
      <c r="T16" s="450"/>
      <c r="U16" s="450"/>
      <c r="V16" s="452"/>
      <c r="W16" s="452"/>
      <c r="X16" s="436"/>
      <c r="Y16" s="436"/>
      <c r="Z16" s="436"/>
      <c r="AA16" s="445"/>
      <c r="AB16" s="431"/>
      <c r="AC16" s="431"/>
      <c r="AD16" s="466"/>
      <c r="AE16" s="466"/>
      <c r="AF16" s="466"/>
      <c r="AG16" s="466"/>
      <c r="AH16" s="431"/>
      <c r="AI16" s="431"/>
      <c r="AJ16" s="467"/>
      <c r="AK16" s="467"/>
    </row>
    <row r="17" spans="1:39" x14ac:dyDescent="0.3">
      <c r="A17" s="584"/>
      <c r="B17" s="585"/>
      <c r="C17" s="463">
        <v>7</v>
      </c>
      <c r="D17" s="470"/>
      <c r="E17" s="586"/>
      <c r="F17" s="586"/>
      <c r="G17" s="472"/>
      <c r="H17" s="586"/>
      <c r="I17" s="586"/>
      <c r="J17" s="464"/>
      <c r="K17" s="587"/>
      <c r="L17" s="588"/>
      <c r="M17" s="471"/>
      <c r="N17" s="450"/>
      <c r="O17" s="436"/>
      <c r="P17" s="450"/>
      <c r="Q17" s="450"/>
      <c r="R17" s="450"/>
      <c r="S17" s="450"/>
      <c r="T17" s="450"/>
      <c r="U17" s="450"/>
      <c r="V17" s="452"/>
      <c r="W17" s="452"/>
      <c r="X17" s="436"/>
      <c r="Y17" s="436"/>
      <c r="Z17" s="436"/>
      <c r="AA17" s="445"/>
      <c r="AB17" s="431"/>
      <c r="AC17" s="431"/>
      <c r="AD17" s="466"/>
      <c r="AE17" s="466"/>
      <c r="AF17" s="466"/>
      <c r="AG17" s="466"/>
      <c r="AH17" s="431"/>
      <c r="AI17" s="431"/>
      <c r="AJ17" s="467"/>
      <c r="AK17" s="467"/>
    </row>
    <row r="18" spans="1:39" x14ac:dyDescent="0.3">
      <c r="A18" s="584"/>
      <c r="B18" s="585"/>
      <c r="C18" s="463">
        <v>8</v>
      </c>
      <c r="D18" s="470"/>
      <c r="E18" s="586"/>
      <c r="F18" s="586"/>
      <c r="G18" s="472"/>
      <c r="H18" s="586"/>
      <c r="I18" s="586"/>
      <c r="J18" s="464"/>
      <c r="K18" s="586"/>
      <c r="L18" s="586"/>
      <c r="M18" s="471"/>
      <c r="N18" s="450"/>
      <c r="O18" s="436"/>
      <c r="P18" s="450"/>
      <c r="Q18" s="450"/>
      <c r="R18" s="450"/>
      <c r="S18" s="450"/>
      <c r="T18" s="450"/>
      <c r="U18" s="450"/>
      <c r="V18" s="452"/>
      <c r="W18" s="452"/>
      <c r="X18" s="436"/>
      <c r="Y18" s="436"/>
      <c r="Z18" s="436"/>
      <c r="AA18" s="445"/>
      <c r="AB18" s="431"/>
      <c r="AC18" s="431"/>
      <c r="AD18" s="466"/>
      <c r="AE18" s="466"/>
      <c r="AF18" s="466"/>
      <c r="AG18" s="466"/>
      <c r="AH18" s="431"/>
      <c r="AI18" s="431"/>
      <c r="AJ18" s="467"/>
      <c r="AK18" s="467"/>
    </row>
    <row r="19" spans="1:39" x14ac:dyDescent="0.3">
      <c r="A19" s="444"/>
      <c r="B19" s="444"/>
      <c r="C19" s="445"/>
      <c r="E19" s="473"/>
      <c r="F19" s="473"/>
      <c r="G19" s="474"/>
      <c r="H19" s="473"/>
      <c r="I19" s="473"/>
      <c r="J19" s="452"/>
      <c r="K19" s="473"/>
      <c r="L19" s="473"/>
      <c r="M19" s="465"/>
      <c r="N19" s="450"/>
      <c r="O19" s="436"/>
      <c r="P19" s="450"/>
      <c r="Q19" s="450"/>
      <c r="R19" s="450"/>
      <c r="S19" s="450"/>
      <c r="T19" s="450"/>
      <c r="U19" s="450"/>
      <c r="V19" s="452"/>
      <c r="W19" s="452"/>
      <c r="X19" s="436"/>
      <c r="Y19" s="436"/>
      <c r="Z19" s="436"/>
      <c r="AA19" s="445"/>
      <c r="AB19" s="431"/>
      <c r="AC19" s="431"/>
      <c r="AD19" s="466"/>
      <c r="AE19" s="466"/>
      <c r="AF19" s="466"/>
      <c r="AG19" s="466"/>
      <c r="AH19" s="431"/>
      <c r="AI19" s="431"/>
      <c r="AJ19" s="467"/>
      <c r="AK19" s="467"/>
    </row>
    <row r="20" spans="1:39" x14ac:dyDescent="0.3">
      <c r="A20" s="582" t="s">
        <v>945</v>
      </c>
      <c r="B20" s="582"/>
      <c r="C20" s="582"/>
      <c r="D20" s="599" t="s">
        <v>150</v>
      </c>
      <c r="E20" s="599"/>
      <c r="F20" s="599"/>
      <c r="G20" s="599"/>
      <c r="H20" s="599"/>
      <c r="I20" s="599"/>
      <c r="J20" s="599"/>
      <c r="K20" s="599"/>
      <c r="L20" s="599"/>
      <c r="M20" s="599"/>
      <c r="N20" s="599"/>
      <c r="V20" s="452"/>
      <c r="W20" s="452"/>
      <c r="X20" s="452"/>
      <c r="Y20" s="452"/>
      <c r="Z20" s="452"/>
      <c r="AL20" s="453"/>
      <c r="AM20" s="453"/>
    </row>
    <row r="21" spans="1:39" x14ac:dyDescent="0.3">
      <c r="A21" s="577" t="s">
        <v>44</v>
      </c>
      <c r="B21" s="578" t="s">
        <v>151</v>
      </c>
      <c r="C21" s="454" t="s">
        <v>103</v>
      </c>
      <c r="D21" s="475" t="s">
        <v>68</v>
      </c>
      <c r="E21" s="476" t="s">
        <v>69</v>
      </c>
      <c r="F21" s="475" t="s">
        <v>70</v>
      </c>
      <c r="G21" s="475" t="s">
        <v>71</v>
      </c>
      <c r="H21" s="475" t="s">
        <v>72</v>
      </c>
      <c r="I21" s="475" t="s">
        <v>73</v>
      </c>
      <c r="J21" s="475" t="s">
        <v>74</v>
      </c>
      <c r="K21" s="475" t="s">
        <v>147</v>
      </c>
      <c r="L21" s="475" t="s">
        <v>76</v>
      </c>
      <c r="M21" s="519" t="s">
        <v>77</v>
      </c>
      <c r="N21" s="519" t="s">
        <v>78</v>
      </c>
      <c r="V21" s="452"/>
      <c r="W21" s="452"/>
      <c r="X21" s="452"/>
      <c r="Y21" s="452"/>
      <c r="Z21" s="452"/>
      <c r="AL21" s="453"/>
      <c r="AM21" s="453"/>
    </row>
    <row r="22" spans="1:39" x14ac:dyDescent="0.3">
      <c r="A22" s="577"/>
      <c r="B22" s="579"/>
      <c r="C22" s="475" t="s">
        <v>80</v>
      </c>
      <c r="D22" s="475" t="s">
        <v>81</v>
      </c>
      <c r="E22" s="475" t="s">
        <v>82</v>
      </c>
      <c r="F22" s="475" t="s">
        <v>83</v>
      </c>
      <c r="G22" s="475" t="s">
        <v>84</v>
      </c>
      <c r="H22" s="475" t="s">
        <v>85</v>
      </c>
      <c r="I22" s="475" t="s">
        <v>86</v>
      </c>
      <c r="J22" s="475" t="s">
        <v>87</v>
      </c>
      <c r="K22" s="475" t="s">
        <v>782</v>
      </c>
      <c r="L22" s="475" t="s">
        <v>89</v>
      </c>
      <c r="M22" s="475" t="s">
        <v>90</v>
      </c>
      <c r="N22" s="475" t="s">
        <v>91</v>
      </c>
      <c r="O22" s="520" t="s">
        <v>156</v>
      </c>
      <c r="V22" s="452"/>
      <c r="W22" s="452"/>
      <c r="X22" s="452"/>
      <c r="Y22" s="452"/>
      <c r="Z22" s="452"/>
      <c r="AL22" s="453"/>
      <c r="AM22" s="453"/>
    </row>
    <row r="23" spans="1:39" x14ac:dyDescent="0.3">
      <c r="A23" s="479" t="str">
        <f>IF($A$11="","",(A11))</f>
        <v/>
      </c>
      <c r="B23" s="463">
        <v>1</v>
      </c>
      <c r="C23" s="478"/>
      <c r="D23" s="472"/>
      <c r="E23" s="472"/>
      <c r="F23" s="472"/>
      <c r="G23" s="472"/>
      <c r="H23" s="472"/>
      <c r="I23" s="472"/>
      <c r="J23" s="472"/>
      <c r="K23" s="472"/>
      <c r="L23" s="472"/>
      <c r="M23" s="472"/>
      <c r="N23" s="472"/>
      <c r="O23" s="471"/>
      <c r="V23" s="452"/>
      <c r="W23" s="452"/>
      <c r="X23" s="452"/>
      <c r="Y23" s="452"/>
      <c r="Z23" s="452"/>
      <c r="AL23" s="453"/>
      <c r="AM23" s="453"/>
    </row>
    <row r="24" spans="1:39" x14ac:dyDescent="0.3">
      <c r="A24" s="479" t="str">
        <f>IF($A$12="","",(A12))</f>
        <v/>
      </c>
      <c r="B24" s="463">
        <v>2</v>
      </c>
      <c r="C24" s="478"/>
      <c r="D24" s="472"/>
      <c r="E24" s="472"/>
      <c r="F24" s="472"/>
      <c r="G24" s="472"/>
      <c r="H24" s="472"/>
      <c r="I24" s="472"/>
      <c r="J24" s="472"/>
      <c r="K24" s="472"/>
      <c r="L24" s="472"/>
      <c r="M24" s="472"/>
      <c r="N24" s="472"/>
      <c r="O24" s="471"/>
      <c r="V24" s="452"/>
      <c r="W24" s="452"/>
      <c r="X24" s="452"/>
      <c r="Y24" s="452"/>
      <c r="Z24" s="452"/>
      <c r="AL24" s="453"/>
      <c r="AM24" s="453"/>
    </row>
    <row r="25" spans="1:39" x14ac:dyDescent="0.3">
      <c r="A25" s="479" t="str">
        <f>IF($A$13="","",(A13))</f>
        <v/>
      </c>
      <c r="B25" s="463">
        <v>3</v>
      </c>
      <c r="C25" s="478"/>
      <c r="D25" s="472"/>
      <c r="E25" s="472"/>
      <c r="F25" s="472"/>
      <c r="G25" s="472"/>
      <c r="H25" s="472"/>
      <c r="I25" s="472"/>
      <c r="J25" s="472"/>
      <c r="K25" s="472"/>
      <c r="L25" s="472"/>
      <c r="M25" s="472"/>
      <c r="N25" s="472"/>
      <c r="O25" s="471"/>
      <c r="V25" s="452"/>
      <c r="W25" s="452"/>
      <c r="X25" s="452"/>
      <c r="Y25" s="452"/>
      <c r="Z25" s="452"/>
      <c r="AL25" s="453"/>
      <c r="AM25" s="453"/>
    </row>
    <row r="26" spans="1:39" x14ac:dyDescent="0.3">
      <c r="A26" s="479" t="str">
        <f>IF($A$14="","",(A14))</f>
        <v/>
      </c>
      <c r="B26" s="463">
        <v>4</v>
      </c>
      <c r="C26" s="478"/>
      <c r="D26" s="472"/>
      <c r="E26" s="472"/>
      <c r="F26" s="472"/>
      <c r="G26" s="472"/>
      <c r="H26" s="472"/>
      <c r="I26" s="472"/>
      <c r="J26" s="472"/>
      <c r="K26" s="472"/>
      <c r="L26" s="472"/>
      <c r="M26" s="472"/>
      <c r="N26" s="472"/>
      <c r="O26" s="471"/>
      <c r="V26" s="452"/>
      <c r="W26" s="452"/>
      <c r="X26" s="452"/>
      <c r="Y26" s="452"/>
      <c r="Z26" s="452"/>
      <c r="AL26" s="453"/>
      <c r="AM26" s="453"/>
    </row>
    <row r="27" spans="1:39" x14ac:dyDescent="0.3">
      <c r="A27" s="479" t="str">
        <f>IF($A$15="","",(A15))</f>
        <v/>
      </c>
      <c r="B27" s="463">
        <v>5</v>
      </c>
      <c r="C27" s="478"/>
      <c r="D27" s="472"/>
      <c r="E27" s="472"/>
      <c r="F27" s="472"/>
      <c r="G27" s="472"/>
      <c r="H27" s="472"/>
      <c r="I27" s="472"/>
      <c r="J27" s="472"/>
      <c r="K27" s="472"/>
      <c r="L27" s="472"/>
      <c r="M27" s="472"/>
      <c r="N27" s="472"/>
      <c r="O27" s="471"/>
      <c r="V27" s="452"/>
      <c r="W27" s="452"/>
      <c r="X27" s="452"/>
      <c r="Y27" s="452"/>
      <c r="Z27" s="452"/>
      <c r="AL27" s="453"/>
      <c r="AM27" s="453"/>
    </row>
    <row r="28" spans="1:39" x14ac:dyDescent="0.3">
      <c r="A28" s="479" t="str">
        <f>IF($A$16="","",(A16))</f>
        <v/>
      </c>
      <c r="B28" s="463">
        <v>6</v>
      </c>
      <c r="C28" s="478"/>
      <c r="D28" s="478"/>
      <c r="E28" s="478"/>
      <c r="F28" s="478"/>
      <c r="G28" s="478"/>
      <c r="H28" s="478"/>
      <c r="I28" s="478"/>
      <c r="J28" s="478"/>
      <c r="K28" s="478"/>
      <c r="L28" s="472"/>
      <c r="M28" s="472"/>
      <c r="N28" s="472"/>
      <c r="O28" s="471"/>
      <c r="V28" s="452"/>
      <c r="W28" s="452"/>
      <c r="X28" s="452"/>
      <c r="Y28" s="452"/>
      <c r="Z28" s="452"/>
      <c r="AL28" s="453"/>
      <c r="AM28" s="453"/>
    </row>
    <row r="29" spans="1:39" x14ac:dyDescent="0.3">
      <c r="A29" s="479" t="str">
        <f>IF($A$17="","",(A17))</f>
        <v/>
      </c>
      <c r="B29" s="463">
        <v>7</v>
      </c>
      <c r="C29" s="478"/>
      <c r="D29" s="472"/>
      <c r="E29" s="472"/>
      <c r="F29" s="472"/>
      <c r="G29" s="472"/>
      <c r="H29" s="472"/>
      <c r="I29" s="472"/>
      <c r="J29" s="472"/>
      <c r="K29" s="472"/>
      <c r="L29" s="481"/>
      <c r="M29" s="521"/>
      <c r="N29" s="521"/>
      <c r="O29" s="471"/>
      <c r="V29" s="452"/>
      <c r="W29" s="452"/>
      <c r="X29" s="452"/>
      <c r="Y29" s="452"/>
      <c r="Z29" s="452"/>
      <c r="AL29" s="453"/>
      <c r="AM29" s="453"/>
    </row>
    <row r="30" spans="1:39" x14ac:dyDescent="0.3">
      <c r="A30" s="479" t="str">
        <f>IF($A$18="","",(A18))</f>
        <v/>
      </c>
      <c r="B30" s="463">
        <v>8</v>
      </c>
      <c r="C30" s="480"/>
      <c r="D30" s="481"/>
      <c r="E30" s="481"/>
      <c r="F30" s="481"/>
      <c r="G30" s="481"/>
      <c r="H30" s="481"/>
      <c r="I30" s="481"/>
      <c r="J30" s="481"/>
      <c r="K30" s="481"/>
      <c r="L30" s="481"/>
      <c r="M30" s="521"/>
      <c r="N30" s="521"/>
      <c r="O30" s="471"/>
      <c r="V30" s="452"/>
      <c r="W30" s="452"/>
      <c r="X30" s="452"/>
      <c r="Y30" s="452"/>
      <c r="Z30" s="452"/>
      <c r="AL30" s="453"/>
      <c r="AM30" s="453"/>
    </row>
    <row r="31" spans="1:39" x14ac:dyDescent="0.3">
      <c r="A31" s="444"/>
      <c r="B31" s="444"/>
      <c r="C31" s="445"/>
      <c r="E31" s="473"/>
      <c r="F31" s="473"/>
      <c r="G31" s="474"/>
      <c r="H31" s="473"/>
      <c r="I31" s="473"/>
      <c r="J31" s="452"/>
      <c r="K31" s="473"/>
      <c r="L31" s="473"/>
      <c r="M31" s="465"/>
      <c r="N31" s="450"/>
      <c r="O31" s="436"/>
      <c r="P31" s="450"/>
      <c r="Q31" s="450"/>
      <c r="R31" s="450"/>
      <c r="S31" s="450"/>
      <c r="T31" s="450"/>
      <c r="U31" s="450"/>
      <c r="V31" s="452"/>
      <c r="W31" s="452"/>
      <c r="X31" s="436"/>
      <c r="Y31" s="436"/>
      <c r="Z31" s="436"/>
      <c r="AA31" s="445"/>
      <c r="AB31" s="431"/>
      <c r="AC31" s="431"/>
      <c r="AD31" s="466"/>
      <c r="AE31" s="466"/>
      <c r="AF31" s="466"/>
      <c r="AG31" s="466"/>
      <c r="AH31" s="431"/>
      <c r="AI31" s="431"/>
      <c r="AJ31" s="467"/>
      <c r="AK31" s="467"/>
    </row>
    <row r="32" spans="1:39" x14ac:dyDescent="0.3">
      <c r="A32" s="582" t="s">
        <v>794</v>
      </c>
      <c r="B32" s="582"/>
      <c r="C32" s="582"/>
      <c r="D32" s="431"/>
      <c r="E32" s="431"/>
      <c r="F32" s="431"/>
      <c r="G32" s="431"/>
      <c r="H32" s="445"/>
      <c r="I32" s="445"/>
      <c r="P32" s="465"/>
      <c r="Q32" s="465"/>
      <c r="R32" s="465"/>
      <c r="S32" s="465"/>
      <c r="T32" s="465"/>
      <c r="U32" s="465"/>
      <c r="V32" s="452"/>
      <c r="W32" s="452"/>
      <c r="X32" s="445"/>
      <c r="Y32" s="445"/>
      <c r="Z32" s="445"/>
      <c r="AA32" s="445"/>
      <c r="AB32" s="445"/>
      <c r="AC32" s="482"/>
      <c r="AD32" s="431"/>
      <c r="AE32" s="431"/>
      <c r="AF32" s="466"/>
      <c r="AG32" s="466"/>
      <c r="AH32" s="466"/>
      <c r="AI32" s="466"/>
      <c r="AJ32" s="431"/>
      <c r="AK32" s="431"/>
      <c r="AL32" s="467"/>
      <c r="AM32" s="467"/>
    </row>
    <row r="33" spans="1:39" x14ac:dyDescent="0.3">
      <c r="A33" s="445"/>
      <c r="B33" s="445"/>
      <c r="C33" s="483"/>
      <c r="D33" s="484" t="s">
        <v>793</v>
      </c>
      <c r="E33" s="485"/>
      <c r="F33" s="445"/>
      <c r="G33" s="445"/>
      <c r="H33" s="445"/>
      <c r="I33" s="445"/>
      <c r="J33" s="483"/>
      <c r="K33" s="484" t="s">
        <v>803</v>
      </c>
      <c r="L33" s="485"/>
      <c r="N33" s="522"/>
      <c r="O33" s="488"/>
      <c r="P33" s="488"/>
      <c r="Q33" s="489" t="s">
        <v>136</v>
      </c>
      <c r="R33" s="488"/>
      <c r="S33" s="488"/>
      <c r="T33" s="488"/>
      <c r="U33" s="490"/>
      <c r="V33" s="452"/>
      <c r="W33" s="452"/>
      <c r="X33" s="473"/>
      <c r="Y33" s="473"/>
      <c r="Z33" s="473"/>
      <c r="AA33" s="438"/>
      <c r="AB33" s="438"/>
      <c r="AC33" s="438"/>
      <c r="AD33" s="438"/>
      <c r="AE33" s="438"/>
      <c r="AF33" s="438"/>
      <c r="AG33" s="438"/>
      <c r="AH33" s="438"/>
      <c r="AI33" s="438"/>
      <c r="AJ33" s="438"/>
      <c r="AK33" s="438"/>
    </row>
    <row r="34" spans="1:39" ht="21" x14ac:dyDescent="0.3">
      <c r="A34" s="491" t="s">
        <v>135</v>
      </c>
      <c r="B34" s="491" t="s">
        <v>143</v>
      </c>
      <c r="C34" s="491" t="s">
        <v>157</v>
      </c>
      <c r="D34" s="491" t="s">
        <v>1029</v>
      </c>
      <c r="E34" s="491" t="s">
        <v>1030</v>
      </c>
      <c r="F34" s="491" t="s">
        <v>973</v>
      </c>
      <c r="G34" s="491" t="s">
        <v>153</v>
      </c>
      <c r="H34" s="491" t="s">
        <v>158</v>
      </c>
      <c r="I34" s="491" t="s">
        <v>985</v>
      </c>
      <c r="J34" s="491" t="s">
        <v>975</v>
      </c>
      <c r="K34" s="491" t="s">
        <v>976</v>
      </c>
      <c r="L34" s="491" t="s">
        <v>977</v>
      </c>
      <c r="M34" s="492" t="s">
        <v>824</v>
      </c>
      <c r="N34" s="523" t="s">
        <v>137</v>
      </c>
      <c r="O34" s="523" t="s">
        <v>138</v>
      </c>
      <c r="P34" s="523" t="s">
        <v>161</v>
      </c>
      <c r="Q34" s="523" t="s">
        <v>162</v>
      </c>
      <c r="R34" s="523" t="s">
        <v>163</v>
      </c>
      <c r="S34" s="523" t="s">
        <v>164</v>
      </c>
      <c r="T34" s="523" t="s">
        <v>165</v>
      </c>
      <c r="U34" s="523" t="s">
        <v>166</v>
      </c>
      <c r="V34" s="452"/>
      <c r="W34" s="452"/>
      <c r="X34" s="438"/>
      <c r="Y34" s="438"/>
      <c r="Z34" s="438"/>
      <c r="AA34" s="438"/>
      <c r="AB34" s="438"/>
      <c r="AC34" s="438"/>
      <c r="AD34" s="438"/>
      <c r="AE34" s="438"/>
      <c r="AF34" s="438"/>
      <c r="AG34" s="438"/>
      <c r="AH34" s="438"/>
      <c r="AI34" s="438"/>
      <c r="AJ34" s="438"/>
      <c r="AK34" s="438"/>
    </row>
    <row r="35" spans="1:39" x14ac:dyDescent="0.3">
      <c r="A35" s="497">
        <f>1</f>
        <v>1</v>
      </c>
      <c r="B35" s="495"/>
      <c r="C35" s="495"/>
      <c r="D35" s="495"/>
      <c r="E35" s="495"/>
      <c r="F35" s="496" t="str">
        <f t="shared" ref="F35" si="0">IF(B35="", "",
    IFERROR(
        IF(
            VLOOKUP(B35,HalimedaInitialMetrics,11,FALSE)="EC",
            ((PI()*(E35*0.5)*(D35*0.5)*C35)/3)/1000,
            IF(
                VLOOKUP(B35,HalimedaInitialMetrics,11,FALSE)="HE",
                ((PI()*(2/3)*(E35*0.5)*(D35*0.5)*C35))/1000,
                ""
            )
        ),
        ""
    )
)</f>
        <v/>
      </c>
      <c r="G35" s="497" t="str">
        <f t="shared" ref="G35" si="1">IF(B35=1,$G$11,IF(B35=2,$G$12,IF(B35=3,$G$13,IF(B35=4,$G$14,IF(B35=5,$G$15,IF(B35=6,$G$16,IF(B35=7,$G$17,IF(B35=8,$G$18,""))))))))</f>
        <v/>
      </c>
      <c r="H35" s="496" t="str">
        <f t="shared" ref="H35" si="2">IF(B35=1,F35*D$11,IF(B35=2,F35*D$12,IF(B35=3,F35*D$13,IF(B35=4,F35*D$14,IF(B35=5,F35*D$15,IF(B35=6,F35*D$16,IF(B35=7,F35*D$17,IF(B35=8,F35*D$18,""))))))))</f>
        <v/>
      </c>
      <c r="I35" s="498" t="str">
        <f t="shared" ref="I35" si="3">IF(B35=1,$J$11,IF(B35=2,$J$12,IF(B35=3,$J$13,IF(B35=4,$J$14,IF(B35=5,$J$15,IF(B35=6,$J$16,IF(B35=7,$J$17,IF(B35=8,$J$18,""))))))))</f>
        <v/>
      </c>
      <c r="J35" s="498" t="str">
        <f t="shared" ref="J35" si="4">IFERROR((H35*I35)*G35, "")</f>
        <v/>
      </c>
      <c r="K35" s="498" t="str">
        <f t="shared" ref="K35" si="5">IFERROR(J35*(1/$B$6),"")</f>
        <v/>
      </c>
      <c r="L35" s="498" t="str">
        <f t="shared" ref="L35" si="6">IFERROR(K35/1000,"")</f>
        <v/>
      </c>
      <c r="M35" s="500"/>
      <c r="N35" s="498" t="str">
        <f t="shared" ref="N35" si="7">IF($B35=1, $L35,"")</f>
        <v/>
      </c>
      <c r="O35" s="498" t="str">
        <f t="shared" ref="O35" si="8">IF($B35=2, $L35,"")</f>
        <v/>
      </c>
      <c r="P35" s="498" t="str">
        <f t="shared" ref="P35" si="9">IF($B35=3, $L35,"")</f>
        <v/>
      </c>
      <c r="Q35" s="498" t="str">
        <f t="shared" ref="Q35" si="10">IF($B35=4, $L35,"")</f>
        <v/>
      </c>
      <c r="R35" s="498" t="str">
        <f t="shared" ref="R35" si="11">IF($B35=5, $L35,"")</f>
        <v/>
      </c>
      <c r="S35" s="498" t="str">
        <f t="shared" ref="S35" si="12">IF($B35=6, $L35,"")</f>
        <v/>
      </c>
      <c r="T35" s="498" t="str">
        <f t="shared" ref="T35" si="13">IF($B35=7, $L35,"")</f>
        <v/>
      </c>
      <c r="U35" s="501" t="str">
        <f t="shared" ref="U35" si="14">IF($B35=8, $L35,"")</f>
        <v/>
      </c>
      <c r="V35" s="452"/>
      <c r="W35" s="452"/>
      <c r="X35" s="438"/>
      <c r="Z35" s="435"/>
      <c r="AA35" s="436"/>
      <c r="AB35" s="436"/>
      <c r="AC35" s="437"/>
      <c r="AD35" s="437"/>
      <c r="AE35" s="437"/>
      <c r="AG35" s="436"/>
      <c r="AH35" s="436"/>
      <c r="AI35" s="438"/>
      <c r="AJ35" s="438"/>
      <c r="AK35" s="438"/>
    </row>
    <row r="36" spans="1:39" x14ac:dyDescent="0.3">
      <c r="A36" s="497">
        <f>1</f>
        <v>1</v>
      </c>
      <c r="B36" s="495"/>
      <c r="C36" s="495"/>
      <c r="D36" s="495"/>
      <c r="E36" s="495"/>
      <c r="F36" s="496" t="str">
        <f t="shared" ref="F36:F44" si="15">IF(B36="", "",
    IFERROR(
        IF(
            VLOOKUP(B36,HalimedaInitialMetrics,11,FALSE)="EC",
            ((PI()*(E36*0.5)*(D36*0.5)*C36)/3)/1000,
            IF(
                VLOOKUP(B36,HalimedaInitialMetrics,11,FALSE)="HE",
                ((PI()*(2/3)*(E36*0.5)*(D36*0.5)*C36))/1000,
                ""
            )
        ),
        ""
    )
)</f>
        <v/>
      </c>
      <c r="G36" s="497" t="str">
        <f t="shared" ref="G36:G44" si="16">IF(B36=1,$G$11,IF(B36=2,$G$12,IF(B36=3,$G$13,IF(B36=4,$G$14,IF(B36=5,$G$15,IF(B36=6,$G$16,IF(B36=7,$G$17,IF(B36=8,$G$18,""))))))))</f>
        <v/>
      </c>
      <c r="H36" s="496" t="str">
        <f t="shared" ref="H36:H44" si="17">IF(B36=1,F36*D$11,IF(B36=2,F36*D$12,IF(B36=3,F36*D$13,IF(B36=4,F36*D$14,IF(B36=5,F36*D$15,IF(B36=6,F36*D$16,IF(B36=7,F36*D$17,IF(B36=8,F36*D$18,""))))))))</f>
        <v/>
      </c>
      <c r="I36" s="498" t="str">
        <f t="shared" ref="I36:I44" si="18">IF(B36=1,$J$11,IF(B36=2,$J$12,IF(B36=3,$J$13,IF(B36=4,$J$14,IF(B36=5,$J$15,IF(B36=6,$J$16,IF(B36=7,$J$17,IF(B36=8,$J$18,""))))))))</f>
        <v/>
      </c>
      <c r="J36" s="498" t="str">
        <f t="shared" ref="J36:J44" si="19">IFERROR((H36*I36)*G36, "")</f>
        <v/>
      </c>
      <c r="K36" s="498" t="str">
        <f t="shared" ref="K36:K44" si="20">IFERROR(J36*(1/$B$6),"")</f>
        <v/>
      </c>
      <c r="L36" s="498" t="str">
        <f t="shared" ref="L36:L44" si="21">IFERROR(K36/1000,"")</f>
        <v/>
      </c>
      <c r="M36" s="500"/>
      <c r="N36" s="498" t="str">
        <f t="shared" ref="N36:N44" si="22">IF($B36=1, $L36,"")</f>
        <v/>
      </c>
      <c r="O36" s="498" t="str">
        <f t="shared" ref="O36:O44" si="23">IF($B36=2, $L36,"")</f>
        <v/>
      </c>
      <c r="P36" s="498" t="str">
        <f t="shared" ref="P36:P44" si="24">IF($B36=3, $L36,"")</f>
        <v/>
      </c>
      <c r="Q36" s="498" t="str">
        <f t="shared" ref="Q36:Q44" si="25">IF($B36=4, $L36,"")</f>
        <v/>
      </c>
      <c r="R36" s="498" t="str">
        <f t="shared" ref="R36:R44" si="26">IF($B36=5, $L36,"")</f>
        <v/>
      </c>
      <c r="S36" s="498" t="str">
        <f t="shared" ref="S36:S44" si="27">IF($B36=6, $L36,"")</f>
        <v/>
      </c>
      <c r="T36" s="498" t="str">
        <f t="shared" ref="T36:T44" si="28">IF($B36=7, $L36,"")</f>
        <v/>
      </c>
      <c r="U36" s="501" t="str">
        <f t="shared" ref="U36:U44" si="29">IF($B36=8, $L36,"")</f>
        <v/>
      </c>
      <c r="V36" s="452"/>
      <c r="W36" s="452"/>
      <c r="X36" s="524"/>
      <c r="Y36" s="524"/>
      <c r="Z36" s="524"/>
      <c r="AL36" s="453"/>
      <c r="AM36" s="453"/>
    </row>
    <row r="37" spans="1:39" x14ac:dyDescent="0.3">
      <c r="A37" s="497">
        <f>1</f>
        <v>1</v>
      </c>
      <c r="B37" s="495"/>
      <c r="C37" s="495"/>
      <c r="D37" s="495"/>
      <c r="E37" s="495"/>
      <c r="F37" s="496" t="str">
        <f t="shared" si="15"/>
        <v/>
      </c>
      <c r="G37" s="497" t="str">
        <f t="shared" si="16"/>
        <v/>
      </c>
      <c r="H37" s="496" t="str">
        <f t="shared" si="17"/>
        <v/>
      </c>
      <c r="I37" s="498" t="str">
        <f t="shared" si="18"/>
        <v/>
      </c>
      <c r="J37" s="498" t="str">
        <f t="shared" si="19"/>
        <v/>
      </c>
      <c r="K37" s="498" t="str">
        <f t="shared" si="20"/>
        <v/>
      </c>
      <c r="L37" s="498" t="str">
        <f t="shared" si="21"/>
        <v/>
      </c>
      <c r="M37" s="500"/>
      <c r="N37" s="498" t="str">
        <f t="shared" si="22"/>
        <v/>
      </c>
      <c r="O37" s="498" t="str">
        <f t="shared" si="23"/>
        <v/>
      </c>
      <c r="P37" s="498" t="str">
        <f t="shared" si="24"/>
        <v/>
      </c>
      <c r="Q37" s="498" t="str">
        <f t="shared" si="25"/>
        <v/>
      </c>
      <c r="R37" s="498" t="str">
        <f t="shared" si="26"/>
        <v/>
      </c>
      <c r="S37" s="498" t="str">
        <f t="shared" si="27"/>
        <v/>
      </c>
      <c r="T37" s="498" t="str">
        <f t="shared" si="28"/>
        <v/>
      </c>
      <c r="U37" s="501" t="str">
        <f t="shared" si="29"/>
        <v/>
      </c>
      <c r="V37" s="452"/>
      <c r="W37" s="452"/>
      <c r="X37" s="524"/>
      <c r="Y37" s="524"/>
      <c r="Z37" s="524"/>
      <c r="AL37" s="453"/>
      <c r="AM37" s="453"/>
    </row>
    <row r="38" spans="1:39" x14ac:dyDescent="0.3">
      <c r="A38" s="497">
        <f>1</f>
        <v>1</v>
      </c>
      <c r="B38" s="495"/>
      <c r="C38" s="495"/>
      <c r="D38" s="495"/>
      <c r="E38" s="495"/>
      <c r="F38" s="496" t="str">
        <f t="shared" si="15"/>
        <v/>
      </c>
      <c r="G38" s="497" t="str">
        <f t="shared" si="16"/>
        <v/>
      </c>
      <c r="H38" s="496" t="str">
        <f t="shared" si="17"/>
        <v/>
      </c>
      <c r="I38" s="498" t="str">
        <f t="shared" si="18"/>
        <v/>
      </c>
      <c r="J38" s="498" t="str">
        <f t="shared" si="19"/>
        <v/>
      </c>
      <c r="K38" s="498" t="str">
        <f t="shared" si="20"/>
        <v/>
      </c>
      <c r="L38" s="498" t="str">
        <f t="shared" si="21"/>
        <v/>
      </c>
      <c r="M38" s="500"/>
      <c r="N38" s="498" t="str">
        <f t="shared" si="22"/>
        <v/>
      </c>
      <c r="O38" s="498" t="str">
        <f t="shared" si="23"/>
        <v/>
      </c>
      <c r="P38" s="498" t="str">
        <f t="shared" si="24"/>
        <v/>
      </c>
      <c r="Q38" s="498" t="str">
        <f t="shared" si="25"/>
        <v/>
      </c>
      <c r="R38" s="498" t="str">
        <f t="shared" si="26"/>
        <v/>
      </c>
      <c r="S38" s="498" t="str">
        <f t="shared" si="27"/>
        <v/>
      </c>
      <c r="T38" s="498" t="str">
        <f t="shared" si="28"/>
        <v/>
      </c>
      <c r="U38" s="501" t="str">
        <f t="shared" si="29"/>
        <v/>
      </c>
      <c r="AL38" s="453"/>
      <c r="AM38" s="453"/>
    </row>
    <row r="39" spans="1:39" x14ac:dyDescent="0.3">
      <c r="A39" s="497">
        <f>1</f>
        <v>1</v>
      </c>
      <c r="B39" s="495"/>
      <c r="C39" s="495"/>
      <c r="D39" s="495"/>
      <c r="E39" s="495"/>
      <c r="F39" s="496" t="str">
        <f t="shared" si="15"/>
        <v/>
      </c>
      <c r="G39" s="497" t="str">
        <f t="shared" si="16"/>
        <v/>
      </c>
      <c r="H39" s="496" t="str">
        <f t="shared" si="17"/>
        <v/>
      </c>
      <c r="I39" s="498" t="str">
        <f t="shared" si="18"/>
        <v/>
      </c>
      <c r="J39" s="498" t="str">
        <f t="shared" si="19"/>
        <v/>
      </c>
      <c r="K39" s="498" t="str">
        <f t="shared" si="20"/>
        <v/>
      </c>
      <c r="L39" s="498" t="str">
        <f t="shared" si="21"/>
        <v/>
      </c>
      <c r="M39" s="500"/>
      <c r="N39" s="498" t="str">
        <f t="shared" si="22"/>
        <v/>
      </c>
      <c r="O39" s="498" t="str">
        <f t="shared" si="23"/>
        <v/>
      </c>
      <c r="P39" s="498" t="str">
        <f t="shared" si="24"/>
        <v/>
      </c>
      <c r="Q39" s="498" t="str">
        <f t="shared" si="25"/>
        <v/>
      </c>
      <c r="R39" s="498" t="str">
        <f t="shared" si="26"/>
        <v/>
      </c>
      <c r="S39" s="498" t="str">
        <f t="shared" si="27"/>
        <v/>
      </c>
      <c r="T39" s="498" t="str">
        <f t="shared" si="28"/>
        <v/>
      </c>
      <c r="U39" s="501" t="str">
        <f t="shared" si="29"/>
        <v/>
      </c>
      <c r="AL39" s="453"/>
      <c r="AM39" s="453"/>
    </row>
    <row r="40" spans="1:39" x14ac:dyDescent="0.3">
      <c r="A40" s="497">
        <f>1</f>
        <v>1</v>
      </c>
      <c r="B40" s="495"/>
      <c r="C40" s="495"/>
      <c r="D40" s="495"/>
      <c r="E40" s="495"/>
      <c r="F40" s="496" t="str">
        <f t="shared" si="15"/>
        <v/>
      </c>
      <c r="G40" s="497" t="str">
        <f t="shared" si="16"/>
        <v/>
      </c>
      <c r="H40" s="496" t="str">
        <f t="shared" si="17"/>
        <v/>
      </c>
      <c r="I40" s="498" t="str">
        <f t="shared" si="18"/>
        <v/>
      </c>
      <c r="J40" s="498" t="str">
        <f t="shared" si="19"/>
        <v/>
      </c>
      <c r="K40" s="498" t="str">
        <f t="shared" si="20"/>
        <v/>
      </c>
      <c r="L40" s="498" t="str">
        <f t="shared" si="21"/>
        <v/>
      </c>
      <c r="M40" s="500"/>
      <c r="N40" s="498" t="str">
        <f t="shared" si="22"/>
        <v/>
      </c>
      <c r="O40" s="498" t="str">
        <f t="shared" si="23"/>
        <v/>
      </c>
      <c r="P40" s="498" t="str">
        <f t="shared" si="24"/>
        <v/>
      </c>
      <c r="Q40" s="498" t="str">
        <f t="shared" si="25"/>
        <v/>
      </c>
      <c r="R40" s="498" t="str">
        <f t="shared" si="26"/>
        <v/>
      </c>
      <c r="S40" s="498" t="str">
        <f t="shared" si="27"/>
        <v/>
      </c>
      <c r="T40" s="498" t="str">
        <f t="shared" si="28"/>
        <v/>
      </c>
      <c r="U40" s="501" t="str">
        <f t="shared" si="29"/>
        <v/>
      </c>
      <c r="AL40" s="453"/>
      <c r="AM40" s="453"/>
    </row>
    <row r="41" spans="1:39" x14ac:dyDescent="0.3">
      <c r="A41" s="497">
        <f>1</f>
        <v>1</v>
      </c>
      <c r="B41" s="495"/>
      <c r="C41" s="495"/>
      <c r="D41" s="495"/>
      <c r="E41" s="495"/>
      <c r="F41" s="496" t="str">
        <f t="shared" si="15"/>
        <v/>
      </c>
      <c r="G41" s="497" t="str">
        <f t="shared" si="16"/>
        <v/>
      </c>
      <c r="H41" s="496" t="str">
        <f t="shared" si="17"/>
        <v/>
      </c>
      <c r="I41" s="498" t="str">
        <f t="shared" si="18"/>
        <v/>
      </c>
      <c r="J41" s="498" t="str">
        <f t="shared" si="19"/>
        <v/>
      </c>
      <c r="K41" s="498" t="str">
        <f t="shared" si="20"/>
        <v/>
      </c>
      <c r="L41" s="498" t="str">
        <f t="shared" si="21"/>
        <v/>
      </c>
      <c r="M41" s="500"/>
      <c r="N41" s="498" t="str">
        <f t="shared" si="22"/>
        <v/>
      </c>
      <c r="O41" s="498" t="str">
        <f t="shared" si="23"/>
        <v/>
      </c>
      <c r="P41" s="498" t="str">
        <f t="shared" si="24"/>
        <v/>
      </c>
      <c r="Q41" s="498" t="str">
        <f t="shared" si="25"/>
        <v/>
      </c>
      <c r="R41" s="498" t="str">
        <f t="shared" si="26"/>
        <v/>
      </c>
      <c r="S41" s="498" t="str">
        <f t="shared" si="27"/>
        <v/>
      </c>
      <c r="T41" s="498" t="str">
        <f t="shared" si="28"/>
        <v/>
      </c>
      <c r="U41" s="501" t="str">
        <f t="shared" si="29"/>
        <v/>
      </c>
      <c r="AL41" s="453"/>
      <c r="AM41" s="453"/>
    </row>
    <row r="42" spans="1:39" x14ac:dyDescent="0.3">
      <c r="A42" s="497">
        <f>1</f>
        <v>1</v>
      </c>
      <c r="B42" s="495"/>
      <c r="C42" s="495"/>
      <c r="D42" s="495"/>
      <c r="E42" s="495"/>
      <c r="F42" s="496" t="str">
        <f t="shared" si="15"/>
        <v/>
      </c>
      <c r="G42" s="497" t="str">
        <f t="shared" si="16"/>
        <v/>
      </c>
      <c r="H42" s="496" t="str">
        <f t="shared" si="17"/>
        <v/>
      </c>
      <c r="I42" s="498" t="str">
        <f t="shared" si="18"/>
        <v/>
      </c>
      <c r="J42" s="498" t="str">
        <f t="shared" si="19"/>
        <v/>
      </c>
      <c r="K42" s="498" t="str">
        <f t="shared" si="20"/>
        <v/>
      </c>
      <c r="L42" s="498" t="str">
        <f t="shared" si="21"/>
        <v/>
      </c>
      <c r="M42" s="500"/>
      <c r="N42" s="498" t="str">
        <f t="shared" si="22"/>
        <v/>
      </c>
      <c r="O42" s="498" t="str">
        <f t="shared" si="23"/>
        <v/>
      </c>
      <c r="P42" s="498" t="str">
        <f t="shared" si="24"/>
        <v/>
      </c>
      <c r="Q42" s="498" t="str">
        <f t="shared" si="25"/>
        <v/>
      </c>
      <c r="R42" s="498" t="str">
        <f t="shared" si="26"/>
        <v/>
      </c>
      <c r="S42" s="498" t="str">
        <f t="shared" si="27"/>
        <v/>
      </c>
      <c r="T42" s="498" t="str">
        <f t="shared" si="28"/>
        <v/>
      </c>
      <c r="U42" s="501" t="str">
        <f t="shared" si="29"/>
        <v/>
      </c>
      <c r="AL42" s="453"/>
      <c r="AM42" s="453"/>
    </row>
    <row r="43" spans="1:39" x14ac:dyDescent="0.3">
      <c r="A43" s="497">
        <f>1</f>
        <v>1</v>
      </c>
      <c r="B43" s="495"/>
      <c r="C43" s="495"/>
      <c r="D43" s="495"/>
      <c r="E43" s="495"/>
      <c r="F43" s="496" t="str">
        <f t="shared" si="15"/>
        <v/>
      </c>
      <c r="G43" s="497" t="str">
        <f t="shared" si="16"/>
        <v/>
      </c>
      <c r="H43" s="496" t="str">
        <f t="shared" si="17"/>
        <v/>
      </c>
      <c r="I43" s="498" t="str">
        <f t="shared" si="18"/>
        <v/>
      </c>
      <c r="J43" s="498" t="str">
        <f t="shared" si="19"/>
        <v/>
      </c>
      <c r="K43" s="498" t="str">
        <f t="shared" si="20"/>
        <v/>
      </c>
      <c r="L43" s="498" t="str">
        <f t="shared" si="21"/>
        <v/>
      </c>
      <c r="M43" s="500"/>
      <c r="N43" s="498" t="str">
        <f t="shared" si="22"/>
        <v/>
      </c>
      <c r="O43" s="498" t="str">
        <f t="shared" si="23"/>
        <v/>
      </c>
      <c r="P43" s="498" t="str">
        <f t="shared" si="24"/>
        <v/>
      </c>
      <c r="Q43" s="498" t="str">
        <f t="shared" si="25"/>
        <v/>
      </c>
      <c r="R43" s="498" t="str">
        <f t="shared" si="26"/>
        <v/>
      </c>
      <c r="S43" s="498" t="str">
        <f t="shared" si="27"/>
        <v/>
      </c>
      <c r="T43" s="498" t="str">
        <f t="shared" si="28"/>
        <v/>
      </c>
      <c r="U43" s="501" t="str">
        <f t="shared" si="29"/>
        <v/>
      </c>
    </row>
    <row r="44" spans="1:39" x14ac:dyDescent="0.3">
      <c r="A44" s="497">
        <f>1</f>
        <v>1</v>
      </c>
      <c r="B44" s="495"/>
      <c r="C44" s="495"/>
      <c r="D44" s="495"/>
      <c r="E44" s="495"/>
      <c r="F44" s="496" t="str">
        <f t="shared" si="15"/>
        <v/>
      </c>
      <c r="G44" s="497" t="str">
        <f t="shared" si="16"/>
        <v/>
      </c>
      <c r="H44" s="496" t="str">
        <f t="shared" si="17"/>
        <v/>
      </c>
      <c r="I44" s="498" t="str">
        <f t="shared" si="18"/>
        <v/>
      </c>
      <c r="J44" s="498" t="str">
        <f t="shared" si="19"/>
        <v/>
      </c>
      <c r="K44" s="498" t="str">
        <f t="shared" si="20"/>
        <v/>
      </c>
      <c r="L44" s="498" t="str">
        <f t="shared" si="21"/>
        <v/>
      </c>
      <c r="M44" s="500"/>
      <c r="N44" s="498" t="str">
        <f t="shared" si="22"/>
        <v/>
      </c>
      <c r="O44" s="498" t="str">
        <f t="shared" si="23"/>
        <v/>
      </c>
      <c r="P44" s="498" t="str">
        <f t="shared" si="24"/>
        <v/>
      </c>
      <c r="Q44" s="498" t="str">
        <f t="shared" si="25"/>
        <v/>
      </c>
      <c r="R44" s="498" t="str">
        <f t="shared" si="26"/>
        <v/>
      </c>
      <c r="S44" s="498" t="str">
        <f t="shared" si="27"/>
        <v/>
      </c>
      <c r="T44" s="498" t="str">
        <f t="shared" si="28"/>
        <v/>
      </c>
      <c r="U44" s="501" t="str">
        <f t="shared" si="29"/>
        <v/>
      </c>
    </row>
    <row r="45" spans="1:39" x14ac:dyDescent="0.3">
      <c r="B45" s="431" t="s">
        <v>139</v>
      </c>
      <c r="C45" s="253">
        <f>COUNT(B35:B44)</f>
        <v>0</v>
      </c>
      <c r="D45" s="445"/>
      <c r="E45" s="445"/>
      <c r="F45" s="445"/>
      <c r="G45" s="445"/>
      <c r="J45" s="502" t="s">
        <v>104</v>
      </c>
      <c r="K45" s="254" t="str">
        <f>IF($A35&lt;=$B$5,SUM(K35:K44),"")</f>
        <v/>
      </c>
      <c r="L45" s="254" t="str">
        <f>IF($A35&lt;=$B$5,SUM(L35:L44),"")</f>
        <v/>
      </c>
      <c r="N45" s="254">
        <f t="shared" ref="N45:U45" si="30">SUM(N35:N44)</f>
        <v>0</v>
      </c>
      <c r="O45" s="254">
        <f t="shared" si="30"/>
        <v>0</v>
      </c>
      <c r="P45" s="254">
        <f t="shared" si="30"/>
        <v>0</v>
      </c>
      <c r="Q45" s="254">
        <f t="shared" si="30"/>
        <v>0</v>
      </c>
      <c r="R45" s="254">
        <f t="shared" si="30"/>
        <v>0</v>
      </c>
      <c r="S45" s="254">
        <f t="shared" si="30"/>
        <v>0</v>
      </c>
      <c r="T45" s="254">
        <f t="shared" si="30"/>
        <v>0</v>
      </c>
      <c r="U45" s="254">
        <f t="shared" si="30"/>
        <v>0</v>
      </c>
    </row>
    <row r="46" spans="1:39" x14ac:dyDescent="0.3">
      <c r="B46" s="431"/>
      <c r="C46" s="445"/>
      <c r="D46" s="445"/>
      <c r="E46" s="445"/>
      <c r="F46" s="445"/>
      <c r="G46" s="445"/>
      <c r="O46" s="452"/>
    </row>
    <row r="47" spans="1:39" x14ac:dyDescent="0.3">
      <c r="B47" s="431"/>
      <c r="C47" s="445"/>
      <c r="D47" s="445"/>
      <c r="E47" s="445"/>
      <c r="F47" s="445"/>
      <c r="G47" s="445"/>
      <c r="O47" s="452"/>
    </row>
    <row r="48" spans="1:39" x14ac:dyDescent="0.3">
      <c r="B48" s="431"/>
      <c r="C48" s="445"/>
      <c r="D48" s="445"/>
      <c r="E48" s="445"/>
      <c r="F48" s="445"/>
      <c r="G48" s="445"/>
      <c r="O48" s="452"/>
    </row>
    <row r="49" spans="1:21" x14ac:dyDescent="0.3">
      <c r="B49" s="431"/>
      <c r="C49" s="445"/>
      <c r="D49" s="445"/>
      <c r="E49" s="445"/>
      <c r="F49" s="445"/>
      <c r="G49" s="445"/>
      <c r="O49" s="452"/>
    </row>
    <row r="50" spans="1:21" x14ac:dyDescent="0.3">
      <c r="A50" s="445"/>
      <c r="B50" s="445"/>
      <c r="C50" s="483"/>
      <c r="D50" s="484" t="s">
        <v>793</v>
      </c>
      <c r="E50" s="485"/>
      <c r="F50" s="445"/>
      <c r="G50" s="445"/>
      <c r="H50" s="445"/>
      <c r="I50" s="445"/>
      <c r="J50" s="483"/>
      <c r="K50" s="484" t="s">
        <v>803</v>
      </c>
      <c r="L50" s="485"/>
      <c r="N50" s="522"/>
      <c r="O50" s="488"/>
      <c r="P50" s="488"/>
      <c r="Q50" s="489" t="s">
        <v>136</v>
      </c>
      <c r="R50" s="488"/>
      <c r="S50" s="488"/>
      <c r="T50" s="488"/>
      <c r="U50" s="490"/>
    </row>
    <row r="51" spans="1:21" ht="21" x14ac:dyDescent="0.3">
      <c r="A51" s="491" t="s">
        <v>135</v>
      </c>
      <c r="B51" s="491" t="s">
        <v>143</v>
      </c>
      <c r="C51" s="491" t="s">
        <v>157</v>
      </c>
      <c r="D51" s="491" t="s">
        <v>1029</v>
      </c>
      <c r="E51" s="491" t="s">
        <v>1030</v>
      </c>
      <c r="F51" s="491" t="s">
        <v>973</v>
      </c>
      <c r="G51" s="491" t="s">
        <v>153</v>
      </c>
      <c r="H51" s="491" t="s">
        <v>158</v>
      </c>
      <c r="I51" s="491" t="s">
        <v>985</v>
      </c>
      <c r="J51" s="491" t="s">
        <v>975</v>
      </c>
      <c r="K51" s="491" t="s">
        <v>976</v>
      </c>
      <c r="L51" s="491" t="s">
        <v>977</v>
      </c>
      <c r="M51" s="492" t="s">
        <v>824</v>
      </c>
      <c r="N51" s="523" t="s">
        <v>137</v>
      </c>
      <c r="O51" s="523" t="s">
        <v>138</v>
      </c>
      <c r="P51" s="523" t="s">
        <v>161</v>
      </c>
      <c r="Q51" s="523" t="s">
        <v>162</v>
      </c>
      <c r="R51" s="523" t="s">
        <v>163</v>
      </c>
      <c r="S51" s="523" t="s">
        <v>164</v>
      </c>
      <c r="T51" s="523" t="s">
        <v>165</v>
      </c>
      <c r="U51" s="523" t="s">
        <v>166</v>
      </c>
    </row>
    <row r="52" spans="1:21" x14ac:dyDescent="0.3">
      <c r="A52" s="505">
        <f>2</f>
        <v>2</v>
      </c>
      <c r="B52" s="495"/>
      <c r="C52" s="495"/>
      <c r="D52" s="495"/>
      <c r="E52" s="495"/>
      <c r="F52" s="496" t="str">
        <f t="shared" ref="F52" si="31">IF(B52="", "",
    IFERROR(
        IF(
            VLOOKUP(B52,HalimedaInitialMetrics,11,FALSE)="EC",
            ((PI()*(E52*0.5)*(D52*0.5)*C52)/3)/1000,
            IF(
                VLOOKUP(B52,HalimedaInitialMetrics,11,FALSE)="HE",
                ((PI()*(2/3)*(E52*0.5)*(D52*0.5)*C52))/1000,
                ""
            )
        ),
        ""
    )
)</f>
        <v/>
      </c>
      <c r="G52" s="497" t="str">
        <f t="shared" ref="G52" si="32">IF(B52=1,$G$11,IF(B52=2,$G$12,IF(B52=3,$G$13,IF(B52=4,$G$14,IF(B52=5,$G$15,IF(B52=6,$G$16,IF(B52=7,$G$17,IF(B52=8,$G$18,""))))))))</f>
        <v/>
      </c>
      <c r="H52" s="496" t="str">
        <f t="shared" ref="H52" si="33">IF(B52=1,F52*D$11,IF(B52=2,F52*D$12,IF(B52=3,F52*D$13,IF(B52=4,F52*D$14,IF(B52=5,F52*D$15,IF(B52=6,F52*D$16,IF(B52=7,F52*D$17,IF(B52=8,F52*D$18,""))))))))</f>
        <v/>
      </c>
      <c r="I52" s="498" t="str">
        <f t="shared" ref="I52" si="34">IF(B52=1,$J$11,IF(B52=2,$J$12,IF(B52=3,$J$13,IF(B52=4,$J$14,IF(B52=5,$J$15,IF(B52=6,$J$16,IF(B52=7,$J$17,IF(B52=8,$J$18,""))))))))</f>
        <v/>
      </c>
      <c r="J52" s="498" t="str">
        <f t="shared" ref="J52" si="35">IFERROR((H52*I52)*G52, "")</f>
        <v/>
      </c>
      <c r="K52" s="498" t="str">
        <f t="shared" ref="K52" si="36">IFERROR(J52*(1/$B$6),"")</f>
        <v/>
      </c>
      <c r="L52" s="498" t="str">
        <f t="shared" ref="L52" si="37">IFERROR(K52/1000,"")</f>
        <v/>
      </c>
      <c r="M52" s="500"/>
      <c r="N52" s="498" t="str">
        <f t="shared" ref="N52" si="38">IF($B52=1, $L52,"")</f>
        <v/>
      </c>
      <c r="O52" s="498" t="str">
        <f t="shared" ref="O52" si="39">IF($B52=2, $L52,"")</f>
        <v/>
      </c>
      <c r="P52" s="498" t="str">
        <f t="shared" ref="P52" si="40">IF($B52=3, $L52,"")</f>
        <v/>
      </c>
      <c r="Q52" s="498" t="str">
        <f t="shared" ref="Q52" si="41">IF($B52=4, $L52,"")</f>
        <v/>
      </c>
      <c r="R52" s="498" t="str">
        <f t="shared" ref="R52" si="42">IF($B52=5, $L52,"")</f>
        <v/>
      </c>
      <c r="S52" s="498" t="str">
        <f t="shared" ref="S52" si="43">IF($B52=6, $L52,"")</f>
        <v/>
      </c>
      <c r="T52" s="498" t="str">
        <f t="shared" ref="T52" si="44">IF($B52=7, $L52,"")</f>
        <v/>
      </c>
      <c r="U52" s="501" t="str">
        <f t="shared" ref="U52" si="45">IF($B52=8, $L52,"")</f>
        <v/>
      </c>
    </row>
    <row r="53" spans="1:21" x14ac:dyDescent="0.3">
      <c r="A53" s="505">
        <f>2</f>
        <v>2</v>
      </c>
      <c r="B53" s="495"/>
      <c r="C53" s="495"/>
      <c r="D53" s="495"/>
      <c r="E53" s="495"/>
      <c r="F53" s="496" t="str">
        <f t="shared" ref="F53:F61" si="46">IF(B53="", "",
    IFERROR(
        IF(
            VLOOKUP(B53,HalimedaInitialMetrics,11,FALSE)="EC",
            ((PI()*(E53*0.5)*(D53*0.5)*C53)/3)/1000,
            IF(
                VLOOKUP(B53,HalimedaInitialMetrics,11,FALSE)="HE",
                ((PI()*(2/3)*(E53*0.5)*(D53*0.5)*C53))/1000,
                ""
            )
        ),
        ""
    )
)</f>
        <v/>
      </c>
      <c r="G53" s="497" t="str">
        <f t="shared" ref="G53:G61" si="47">IF(B53=1,$G$11,IF(B53=2,$G$12,IF(B53=3,$G$13,IF(B53=4,$G$14,IF(B53=5,$G$15,IF(B53=6,$G$16,IF(B53=7,$G$17,IF(B53=8,$G$18,""))))))))</f>
        <v/>
      </c>
      <c r="H53" s="496" t="str">
        <f t="shared" ref="H53:H61" si="48">IF(B53=1,F53*D$11,IF(B53=2,F53*D$12,IF(B53=3,F53*D$13,IF(B53=4,F53*D$14,IF(B53=5,F53*D$15,IF(B53=6,F53*D$16,IF(B53=7,F53*D$17,IF(B53=8,F53*D$18,""))))))))</f>
        <v/>
      </c>
      <c r="I53" s="498" t="str">
        <f t="shared" ref="I53:I61" si="49">IF(B53=1,$J$11,IF(B53=2,$J$12,IF(B53=3,$J$13,IF(B53=4,$J$14,IF(B53=5,$J$15,IF(B53=6,$J$16,IF(B53=7,$J$17,IF(B53=8,$J$18,""))))))))</f>
        <v/>
      </c>
      <c r="J53" s="498" t="str">
        <f t="shared" ref="J53:J61" si="50">IFERROR((H53*I53)*G53, "")</f>
        <v/>
      </c>
      <c r="K53" s="498" t="str">
        <f t="shared" ref="K53:K61" si="51">IFERROR(J53*(1/$B$6),"")</f>
        <v/>
      </c>
      <c r="L53" s="498" t="str">
        <f t="shared" ref="L53:L61" si="52">IFERROR(K53/1000,"")</f>
        <v/>
      </c>
      <c r="M53" s="500"/>
      <c r="N53" s="498" t="str">
        <f t="shared" ref="N53:N61" si="53">IF($B53=1, $L53,"")</f>
        <v/>
      </c>
      <c r="O53" s="498" t="str">
        <f t="shared" ref="O53:O61" si="54">IF($B53=2, $L53,"")</f>
        <v/>
      </c>
      <c r="P53" s="498" t="str">
        <f t="shared" ref="P53:P61" si="55">IF($B53=3, $L53,"")</f>
        <v/>
      </c>
      <c r="Q53" s="498" t="str">
        <f t="shared" ref="Q53:Q61" si="56">IF($B53=4, $L53,"")</f>
        <v/>
      </c>
      <c r="R53" s="498" t="str">
        <f t="shared" ref="R53:R61" si="57">IF($B53=5, $L53,"")</f>
        <v/>
      </c>
      <c r="S53" s="498" t="str">
        <f t="shared" ref="S53:S61" si="58">IF($B53=6, $L53,"")</f>
        <v/>
      </c>
      <c r="T53" s="498" t="str">
        <f t="shared" ref="T53:T61" si="59">IF($B53=7, $L53,"")</f>
        <v/>
      </c>
      <c r="U53" s="501" t="str">
        <f t="shared" ref="U53:U61" si="60">IF($B53=8, $L53,"")</f>
        <v/>
      </c>
    </row>
    <row r="54" spans="1:21" x14ac:dyDescent="0.3">
      <c r="A54" s="505">
        <f>2</f>
        <v>2</v>
      </c>
      <c r="B54" s="495"/>
      <c r="C54" s="495"/>
      <c r="D54" s="495"/>
      <c r="E54" s="495"/>
      <c r="F54" s="496" t="str">
        <f t="shared" si="46"/>
        <v/>
      </c>
      <c r="G54" s="497" t="str">
        <f t="shared" si="47"/>
        <v/>
      </c>
      <c r="H54" s="496" t="str">
        <f t="shared" si="48"/>
        <v/>
      </c>
      <c r="I54" s="498" t="str">
        <f t="shared" si="49"/>
        <v/>
      </c>
      <c r="J54" s="498" t="str">
        <f t="shared" si="50"/>
        <v/>
      </c>
      <c r="K54" s="498" t="str">
        <f t="shared" si="51"/>
        <v/>
      </c>
      <c r="L54" s="498" t="str">
        <f t="shared" si="52"/>
        <v/>
      </c>
      <c r="M54" s="500"/>
      <c r="N54" s="498" t="str">
        <f t="shared" si="53"/>
        <v/>
      </c>
      <c r="O54" s="498" t="str">
        <f t="shared" si="54"/>
        <v/>
      </c>
      <c r="P54" s="498" t="str">
        <f t="shared" si="55"/>
        <v/>
      </c>
      <c r="Q54" s="498" t="str">
        <f t="shared" si="56"/>
        <v/>
      </c>
      <c r="R54" s="498" t="str">
        <f t="shared" si="57"/>
        <v/>
      </c>
      <c r="S54" s="498" t="str">
        <f t="shared" si="58"/>
        <v/>
      </c>
      <c r="T54" s="498" t="str">
        <f t="shared" si="59"/>
        <v/>
      </c>
      <c r="U54" s="501" t="str">
        <f t="shared" si="60"/>
        <v/>
      </c>
    </row>
    <row r="55" spans="1:21" x14ac:dyDescent="0.3">
      <c r="A55" s="505">
        <f>2</f>
        <v>2</v>
      </c>
      <c r="B55" s="495"/>
      <c r="C55" s="495"/>
      <c r="D55" s="495"/>
      <c r="E55" s="495"/>
      <c r="F55" s="496" t="str">
        <f t="shared" si="46"/>
        <v/>
      </c>
      <c r="G55" s="497" t="str">
        <f t="shared" si="47"/>
        <v/>
      </c>
      <c r="H55" s="496" t="str">
        <f t="shared" si="48"/>
        <v/>
      </c>
      <c r="I55" s="498" t="str">
        <f t="shared" si="49"/>
        <v/>
      </c>
      <c r="J55" s="498" t="str">
        <f t="shared" si="50"/>
        <v/>
      </c>
      <c r="K55" s="498" t="str">
        <f t="shared" si="51"/>
        <v/>
      </c>
      <c r="L55" s="498" t="str">
        <f t="shared" si="52"/>
        <v/>
      </c>
      <c r="M55" s="500"/>
      <c r="N55" s="498" t="str">
        <f t="shared" si="53"/>
        <v/>
      </c>
      <c r="O55" s="498" t="str">
        <f t="shared" si="54"/>
        <v/>
      </c>
      <c r="P55" s="498" t="str">
        <f t="shared" si="55"/>
        <v/>
      </c>
      <c r="Q55" s="498" t="str">
        <f t="shared" si="56"/>
        <v/>
      </c>
      <c r="R55" s="498" t="str">
        <f t="shared" si="57"/>
        <v/>
      </c>
      <c r="S55" s="498" t="str">
        <f t="shared" si="58"/>
        <v/>
      </c>
      <c r="T55" s="498" t="str">
        <f t="shared" si="59"/>
        <v/>
      </c>
      <c r="U55" s="501" t="str">
        <f t="shared" si="60"/>
        <v/>
      </c>
    </row>
    <row r="56" spans="1:21" x14ac:dyDescent="0.3">
      <c r="A56" s="505">
        <f>2</f>
        <v>2</v>
      </c>
      <c r="B56" s="495"/>
      <c r="C56" s="495"/>
      <c r="D56" s="495"/>
      <c r="E56" s="495"/>
      <c r="F56" s="496" t="str">
        <f t="shared" si="46"/>
        <v/>
      </c>
      <c r="G56" s="497" t="str">
        <f t="shared" si="47"/>
        <v/>
      </c>
      <c r="H56" s="496" t="str">
        <f t="shared" si="48"/>
        <v/>
      </c>
      <c r="I56" s="498" t="str">
        <f t="shared" si="49"/>
        <v/>
      </c>
      <c r="J56" s="498" t="str">
        <f t="shared" si="50"/>
        <v/>
      </c>
      <c r="K56" s="498" t="str">
        <f t="shared" si="51"/>
        <v/>
      </c>
      <c r="L56" s="498" t="str">
        <f t="shared" si="52"/>
        <v/>
      </c>
      <c r="M56" s="500"/>
      <c r="N56" s="498" t="str">
        <f t="shared" si="53"/>
        <v/>
      </c>
      <c r="O56" s="498" t="str">
        <f t="shared" si="54"/>
        <v/>
      </c>
      <c r="P56" s="498" t="str">
        <f t="shared" si="55"/>
        <v/>
      </c>
      <c r="Q56" s="498" t="str">
        <f t="shared" si="56"/>
        <v/>
      </c>
      <c r="R56" s="498" t="str">
        <f t="shared" si="57"/>
        <v/>
      </c>
      <c r="S56" s="498" t="str">
        <f t="shared" si="58"/>
        <v/>
      </c>
      <c r="T56" s="498" t="str">
        <f t="shared" si="59"/>
        <v/>
      </c>
      <c r="U56" s="501" t="str">
        <f t="shared" si="60"/>
        <v/>
      </c>
    </row>
    <row r="57" spans="1:21" x14ac:dyDescent="0.3">
      <c r="A57" s="505">
        <f>2</f>
        <v>2</v>
      </c>
      <c r="B57" s="495"/>
      <c r="C57" s="495"/>
      <c r="D57" s="495"/>
      <c r="E57" s="495"/>
      <c r="F57" s="496" t="str">
        <f t="shared" si="46"/>
        <v/>
      </c>
      <c r="G57" s="497" t="str">
        <f t="shared" si="47"/>
        <v/>
      </c>
      <c r="H57" s="496" t="str">
        <f t="shared" si="48"/>
        <v/>
      </c>
      <c r="I57" s="498" t="str">
        <f t="shared" si="49"/>
        <v/>
      </c>
      <c r="J57" s="498" t="str">
        <f t="shared" si="50"/>
        <v/>
      </c>
      <c r="K57" s="498" t="str">
        <f t="shared" si="51"/>
        <v/>
      </c>
      <c r="L57" s="498" t="str">
        <f t="shared" si="52"/>
        <v/>
      </c>
      <c r="M57" s="500"/>
      <c r="N57" s="498" t="str">
        <f t="shared" si="53"/>
        <v/>
      </c>
      <c r="O57" s="498" t="str">
        <f t="shared" si="54"/>
        <v/>
      </c>
      <c r="P57" s="498" t="str">
        <f t="shared" si="55"/>
        <v/>
      </c>
      <c r="Q57" s="498" t="str">
        <f t="shared" si="56"/>
        <v/>
      </c>
      <c r="R57" s="498" t="str">
        <f t="shared" si="57"/>
        <v/>
      </c>
      <c r="S57" s="498" t="str">
        <f t="shared" si="58"/>
        <v/>
      </c>
      <c r="T57" s="498" t="str">
        <f t="shared" si="59"/>
        <v/>
      </c>
      <c r="U57" s="501" t="str">
        <f t="shared" si="60"/>
        <v/>
      </c>
    </row>
    <row r="58" spans="1:21" x14ac:dyDescent="0.3">
      <c r="A58" s="505">
        <f>2</f>
        <v>2</v>
      </c>
      <c r="B58" s="495"/>
      <c r="C58" s="495"/>
      <c r="D58" s="495"/>
      <c r="E58" s="495"/>
      <c r="F58" s="496" t="str">
        <f t="shared" si="46"/>
        <v/>
      </c>
      <c r="G58" s="497" t="str">
        <f t="shared" si="47"/>
        <v/>
      </c>
      <c r="H58" s="496" t="str">
        <f t="shared" si="48"/>
        <v/>
      </c>
      <c r="I58" s="498" t="str">
        <f t="shared" si="49"/>
        <v/>
      </c>
      <c r="J58" s="498" t="str">
        <f t="shared" si="50"/>
        <v/>
      </c>
      <c r="K58" s="498" t="str">
        <f t="shared" si="51"/>
        <v/>
      </c>
      <c r="L58" s="498" t="str">
        <f t="shared" si="52"/>
        <v/>
      </c>
      <c r="M58" s="500"/>
      <c r="N58" s="498" t="str">
        <f t="shared" si="53"/>
        <v/>
      </c>
      <c r="O58" s="498" t="str">
        <f t="shared" si="54"/>
        <v/>
      </c>
      <c r="P58" s="498" t="str">
        <f t="shared" si="55"/>
        <v/>
      </c>
      <c r="Q58" s="498" t="str">
        <f t="shared" si="56"/>
        <v/>
      </c>
      <c r="R58" s="498" t="str">
        <f t="shared" si="57"/>
        <v/>
      </c>
      <c r="S58" s="498" t="str">
        <f t="shared" si="58"/>
        <v/>
      </c>
      <c r="T58" s="498" t="str">
        <f t="shared" si="59"/>
        <v/>
      </c>
      <c r="U58" s="501" t="str">
        <f t="shared" si="60"/>
        <v/>
      </c>
    </row>
    <row r="59" spans="1:21" x14ac:dyDescent="0.3">
      <c r="A59" s="505">
        <f>2</f>
        <v>2</v>
      </c>
      <c r="B59" s="495"/>
      <c r="C59" s="495"/>
      <c r="D59" s="495"/>
      <c r="E59" s="495"/>
      <c r="F59" s="496" t="str">
        <f t="shared" si="46"/>
        <v/>
      </c>
      <c r="G59" s="497" t="str">
        <f t="shared" si="47"/>
        <v/>
      </c>
      <c r="H59" s="496" t="str">
        <f t="shared" si="48"/>
        <v/>
      </c>
      <c r="I59" s="498" t="str">
        <f t="shared" si="49"/>
        <v/>
      </c>
      <c r="J59" s="498" t="str">
        <f t="shared" si="50"/>
        <v/>
      </c>
      <c r="K59" s="498" t="str">
        <f t="shared" si="51"/>
        <v/>
      </c>
      <c r="L59" s="498" t="str">
        <f t="shared" si="52"/>
        <v/>
      </c>
      <c r="M59" s="500"/>
      <c r="N59" s="498" t="str">
        <f t="shared" si="53"/>
        <v/>
      </c>
      <c r="O59" s="498" t="str">
        <f t="shared" si="54"/>
        <v/>
      </c>
      <c r="P59" s="498" t="str">
        <f t="shared" si="55"/>
        <v/>
      </c>
      <c r="Q59" s="498" t="str">
        <f t="shared" si="56"/>
        <v/>
      </c>
      <c r="R59" s="498" t="str">
        <f t="shared" si="57"/>
        <v/>
      </c>
      <c r="S59" s="498" t="str">
        <f t="shared" si="58"/>
        <v/>
      </c>
      <c r="T59" s="498" t="str">
        <f t="shared" si="59"/>
        <v/>
      </c>
      <c r="U59" s="501" t="str">
        <f t="shared" si="60"/>
        <v/>
      </c>
    </row>
    <row r="60" spans="1:21" x14ac:dyDescent="0.3">
      <c r="A60" s="505">
        <f>2</f>
        <v>2</v>
      </c>
      <c r="B60" s="495"/>
      <c r="C60" s="495"/>
      <c r="D60" s="495"/>
      <c r="E60" s="495"/>
      <c r="F60" s="496" t="str">
        <f t="shared" si="46"/>
        <v/>
      </c>
      <c r="G60" s="497" t="str">
        <f t="shared" si="47"/>
        <v/>
      </c>
      <c r="H60" s="496" t="str">
        <f t="shared" si="48"/>
        <v/>
      </c>
      <c r="I60" s="498" t="str">
        <f t="shared" si="49"/>
        <v/>
      </c>
      <c r="J60" s="498" t="str">
        <f t="shared" si="50"/>
        <v/>
      </c>
      <c r="K60" s="498" t="str">
        <f t="shared" si="51"/>
        <v/>
      </c>
      <c r="L60" s="498" t="str">
        <f t="shared" si="52"/>
        <v/>
      </c>
      <c r="M60" s="500"/>
      <c r="N60" s="498" t="str">
        <f t="shared" si="53"/>
        <v/>
      </c>
      <c r="O60" s="498" t="str">
        <f t="shared" si="54"/>
        <v/>
      </c>
      <c r="P60" s="498" t="str">
        <f t="shared" si="55"/>
        <v/>
      </c>
      <c r="Q60" s="498" t="str">
        <f t="shared" si="56"/>
        <v/>
      </c>
      <c r="R60" s="498" t="str">
        <f t="shared" si="57"/>
        <v/>
      </c>
      <c r="S60" s="498" t="str">
        <f t="shared" si="58"/>
        <v/>
      </c>
      <c r="T60" s="498" t="str">
        <f t="shared" si="59"/>
        <v/>
      </c>
      <c r="U60" s="501" t="str">
        <f t="shared" si="60"/>
        <v/>
      </c>
    </row>
    <row r="61" spans="1:21" x14ac:dyDescent="0.3">
      <c r="A61" s="505">
        <f>2</f>
        <v>2</v>
      </c>
      <c r="B61" s="495"/>
      <c r="C61" s="495"/>
      <c r="D61" s="495"/>
      <c r="E61" s="495"/>
      <c r="F61" s="496" t="str">
        <f t="shared" si="46"/>
        <v/>
      </c>
      <c r="G61" s="497" t="str">
        <f t="shared" si="47"/>
        <v/>
      </c>
      <c r="H61" s="496" t="str">
        <f t="shared" si="48"/>
        <v/>
      </c>
      <c r="I61" s="498" t="str">
        <f t="shared" si="49"/>
        <v/>
      </c>
      <c r="J61" s="498" t="str">
        <f t="shared" si="50"/>
        <v/>
      </c>
      <c r="K61" s="498" t="str">
        <f t="shared" si="51"/>
        <v/>
      </c>
      <c r="L61" s="498" t="str">
        <f t="shared" si="52"/>
        <v/>
      </c>
      <c r="M61" s="500"/>
      <c r="N61" s="498" t="str">
        <f t="shared" si="53"/>
        <v/>
      </c>
      <c r="O61" s="498" t="str">
        <f t="shared" si="54"/>
        <v/>
      </c>
      <c r="P61" s="498" t="str">
        <f t="shared" si="55"/>
        <v/>
      </c>
      <c r="Q61" s="498" t="str">
        <f t="shared" si="56"/>
        <v/>
      </c>
      <c r="R61" s="498" t="str">
        <f t="shared" si="57"/>
        <v/>
      </c>
      <c r="S61" s="498" t="str">
        <f t="shared" si="58"/>
        <v/>
      </c>
      <c r="T61" s="498" t="str">
        <f t="shared" si="59"/>
        <v/>
      </c>
      <c r="U61" s="501" t="str">
        <f t="shared" si="60"/>
        <v/>
      </c>
    </row>
    <row r="62" spans="1:21" x14ac:dyDescent="0.3">
      <c r="B62" s="431" t="s">
        <v>139</v>
      </c>
      <c r="C62" s="253">
        <f>COUNT(B52:B61)</f>
        <v>0</v>
      </c>
      <c r="D62" s="445"/>
      <c r="E62" s="445"/>
      <c r="F62" s="445"/>
      <c r="G62" s="445"/>
      <c r="J62" s="502" t="s">
        <v>104</v>
      </c>
      <c r="K62" s="254" t="str">
        <f>IF($A52&lt;=$B$5,SUM(K52:K61),"")</f>
        <v/>
      </c>
      <c r="L62" s="254" t="str">
        <f>IF($A52&lt;=$B$5,SUM(L52:L61),"")</f>
        <v/>
      </c>
      <c r="N62" s="254">
        <f t="shared" ref="N62:U62" si="61">SUM(N52:N61)</f>
        <v>0</v>
      </c>
      <c r="O62" s="256">
        <f t="shared" si="61"/>
        <v>0</v>
      </c>
      <c r="P62" s="256">
        <f t="shared" si="61"/>
        <v>0</v>
      </c>
      <c r="Q62" s="256">
        <f t="shared" si="61"/>
        <v>0</v>
      </c>
      <c r="R62" s="256">
        <f t="shared" si="61"/>
        <v>0</v>
      </c>
      <c r="S62" s="256">
        <f t="shared" si="61"/>
        <v>0</v>
      </c>
      <c r="T62" s="256">
        <f t="shared" si="61"/>
        <v>0</v>
      </c>
      <c r="U62" s="256">
        <f t="shared" si="61"/>
        <v>0</v>
      </c>
    </row>
    <row r="63" spans="1:21" x14ac:dyDescent="0.3">
      <c r="B63" s="431"/>
      <c r="C63" s="445"/>
      <c r="D63" s="445"/>
      <c r="E63" s="445"/>
      <c r="F63" s="445"/>
      <c r="G63" s="445"/>
      <c r="O63" s="452"/>
    </row>
    <row r="64" spans="1:21" x14ac:dyDescent="0.3">
      <c r="B64" s="431"/>
      <c r="C64" s="445"/>
      <c r="D64" s="445"/>
      <c r="E64" s="445"/>
      <c r="F64" s="445"/>
      <c r="G64" s="445"/>
      <c r="O64" s="452"/>
    </row>
    <row r="65" spans="1:21" x14ac:dyDescent="0.3">
      <c r="B65" s="431"/>
      <c r="C65" s="445"/>
      <c r="D65" s="445"/>
      <c r="E65" s="445"/>
      <c r="F65" s="445"/>
      <c r="G65" s="445"/>
      <c r="O65" s="452"/>
    </row>
    <row r="66" spans="1:21" x14ac:dyDescent="0.3">
      <c r="B66" s="431"/>
      <c r="C66" s="445"/>
      <c r="D66" s="445"/>
      <c r="E66" s="445"/>
      <c r="F66" s="445"/>
      <c r="G66" s="445"/>
      <c r="O66" s="452"/>
    </row>
    <row r="67" spans="1:21" x14ac:dyDescent="0.3">
      <c r="A67" s="445"/>
      <c r="B67" s="445"/>
      <c r="C67" s="483"/>
      <c r="D67" s="484" t="s">
        <v>793</v>
      </c>
      <c r="E67" s="485"/>
      <c r="F67" s="445"/>
      <c r="G67" s="445"/>
      <c r="H67" s="445"/>
      <c r="I67" s="445"/>
      <c r="J67" s="483"/>
      <c r="K67" s="484" t="s">
        <v>803</v>
      </c>
      <c r="L67" s="485"/>
      <c r="M67" s="492"/>
      <c r="N67" s="522"/>
      <c r="O67" s="488"/>
      <c r="P67" s="488"/>
      <c r="Q67" s="489" t="s">
        <v>136</v>
      </c>
      <c r="R67" s="488"/>
      <c r="S67" s="488"/>
      <c r="T67" s="488"/>
      <c r="U67" s="490"/>
    </row>
    <row r="68" spans="1:21" ht="21" x14ac:dyDescent="0.3">
      <c r="A68" s="491" t="s">
        <v>135</v>
      </c>
      <c r="B68" s="491" t="s">
        <v>143</v>
      </c>
      <c r="C68" s="491" t="s">
        <v>157</v>
      </c>
      <c r="D68" s="491" t="s">
        <v>1029</v>
      </c>
      <c r="E68" s="491" t="s">
        <v>1030</v>
      </c>
      <c r="F68" s="491" t="s">
        <v>973</v>
      </c>
      <c r="G68" s="491" t="s">
        <v>153</v>
      </c>
      <c r="H68" s="491" t="s">
        <v>158</v>
      </c>
      <c r="I68" s="491" t="s">
        <v>985</v>
      </c>
      <c r="J68" s="491" t="s">
        <v>975</v>
      </c>
      <c r="K68" s="491" t="s">
        <v>976</v>
      </c>
      <c r="L68" s="491" t="s">
        <v>977</v>
      </c>
      <c r="M68" s="492" t="s">
        <v>824</v>
      </c>
      <c r="N68" s="523" t="s">
        <v>137</v>
      </c>
      <c r="O68" s="523" t="s">
        <v>138</v>
      </c>
      <c r="P68" s="523" t="s">
        <v>161</v>
      </c>
      <c r="Q68" s="523" t="s">
        <v>162</v>
      </c>
      <c r="R68" s="523" t="s">
        <v>163</v>
      </c>
      <c r="S68" s="523" t="s">
        <v>164</v>
      </c>
      <c r="T68" s="523" t="s">
        <v>165</v>
      </c>
      <c r="U68" s="523" t="s">
        <v>166</v>
      </c>
    </row>
    <row r="69" spans="1:21" x14ac:dyDescent="0.3">
      <c r="A69" s="505">
        <f>3</f>
        <v>3</v>
      </c>
      <c r="B69" s="495"/>
      <c r="C69" s="495"/>
      <c r="D69" s="495"/>
      <c r="E69" s="495"/>
      <c r="F69" s="496" t="str">
        <f t="shared" ref="F69:F78" si="62">IF(B69="", "",
    IFERROR(
        IF(
            VLOOKUP(B69,HalimedaInitialMetrics,11,FALSE)="EC",
            ((PI()*(E69*0.5)*(D69*0.5)*C69)/3)/1000,
            IF(
                VLOOKUP(B69,HalimedaInitialMetrics,11,FALSE)="HE",
                ((PI()*(2/3)*(E69*0.5)*(D69*0.5)*C69))/1000,
                ""
            )
        ),
        ""
    )
)</f>
        <v/>
      </c>
      <c r="G69" s="497" t="str">
        <f t="shared" ref="G69:G78" si="63">IF(B69=1,$G$11,IF(B69=2,$G$12,IF(B69=3,$G$13,IF(B69=4,$G$14,IF(B69=5,$G$15,IF(B69=6,$G$16,IF(B69=7,$G$17,IF(B69=8,$G$18,""))))))))</f>
        <v/>
      </c>
      <c r="H69" s="496" t="str">
        <f t="shared" ref="H69:H78" si="64">IF(B69=1,F69*D$11,IF(B69=2,F69*D$12,IF(B69=3,F69*D$13,IF(B69=4,F69*D$14,IF(B69=5,F69*D$15,IF(B69=6,F69*D$16,IF(B69=7,F69*D$17,IF(B69=8,F69*D$18,""))))))))</f>
        <v/>
      </c>
      <c r="I69" s="498" t="str">
        <f t="shared" ref="I69:I78" si="65">IF(B69=1,$J$11,IF(B69=2,$J$12,IF(B69=3,$J$13,IF(B69=4,$J$14,IF(B69=5,$J$15,IF(B69=6,$J$16,IF(B69=7,$J$17,IF(B69=8,$J$18,""))))))))</f>
        <v/>
      </c>
      <c r="J69" s="498" t="str">
        <f t="shared" ref="J69:J78" si="66">IFERROR((H69*I69)*G69, "")</f>
        <v/>
      </c>
      <c r="K69" s="498" t="str">
        <f t="shared" ref="K69:K78" si="67">IFERROR(J69*(1/$B$6),"")</f>
        <v/>
      </c>
      <c r="L69" s="498" t="str">
        <f t="shared" ref="L69:L78" si="68">IFERROR(K69/1000,"")</f>
        <v/>
      </c>
      <c r="M69" s="492"/>
      <c r="N69" s="498" t="str">
        <f t="shared" ref="N69:N78" si="69">IF($B69=1, $L69,"")</f>
        <v/>
      </c>
      <c r="O69" s="498" t="str">
        <f t="shared" ref="O69:O78" si="70">IF($B69=2, $L69,"")</f>
        <v/>
      </c>
      <c r="P69" s="498" t="str">
        <f t="shared" ref="P69:P78" si="71">IF($B69=3, $L69,"")</f>
        <v/>
      </c>
      <c r="Q69" s="498" t="str">
        <f t="shared" ref="Q69:Q78" si="72">IF($B69=4, $L69,"")</f>
        <v/>
      </c>
      <c r="R69" s="498" t="str">
        <f t="shared" ref="R69:R78" si="73">IF($B69=5, $L69,"")</f>
        <v/>
      </c>
      <c r="S69" s="498" t="str">
        <f t="shared" ref="S69:S78" si="74">IF($B69=6, $L69,"")</f>
        <v/>
      </c>
      <c r="T69" s="498" t="str">
        <f t="shared" ref="T69:T78" si="75">IF($B69=7, $L69,"")</f>
        <v/>
      </c>
      <c r="U69" s="501" t="str">
        <f t="shared" ref="U69:U78" si="76">IF($B69=8, $L69,"")</f>
        <v/>
      </c>
    </row>
    <row r="70" spans="1:21" x14ac:dyDescent="0.3">
      <c r="A70" s="505">
        <f>3</f>
        <v>3</v>
      </c>
      <c r="B70" s="495"/>
      <c r="C70" s="495"/>
      <c r="D70" s="495"/>
      <c r="E70" s="495"/>
      <c r="F70" s="496" t="str">
        <f t="shared" si="62"/>
        <v/>
      </c>
      <c r="G70" s="497" t="str">
        <f t="shared" si="63"/>
        <v/>
      </c>
      <c r="H70" s="496" t="str">
        <f t="shared" si="64"/>
        <v/>
      </c>
      <c r="I70" s="498" t="str">
        <f t="shared" si="65"/>
        <v/>
      </c>
      <c r="J70" s="498" t="str">
        <f t="shared" si="66"/>
        <v/>
      </c>
      <c r="K70" s="498" t="str">
        <f t="shared" si="67"/>
        <v/>
      </c>
      <c r="L70" s="498" t="str">
        <f t="shared" si="68"/>
        <v/>
      </c>
      <c r="M70" s="492"/>
      <c r="N70" s="498" t="str">
        <f t="shared" si="69"/>
        <v/>
      </c>
      <c r="O70" s="498" t="str">
        <f t="shared" si="70"/>
        <v/>
      </c>
      <c r="P70" s="498" t="str">
        <f t="shared" si="71"/>
        <v/>
      </c>
      <c r="Q70" s="498" t="str">
        <f t="shared" si="72"/>
        <v/>
      </c>
      <c r="R70" s="498" t="str">
        <f t="shared" si="73"/>
        <v/>
      </c>
      <c r="S70" s="498" t="str">
        <f t="shared" si="74"/>
        <v/>
      </c>
      <c r="T70" s="498" t="str">
        <f t="shared" si="75"/>
        <v/>
      </c>
      <c r="U70" s="501" t="str">
        <f t="shared" si="76"/>
        <v/>
      </c>
    </row>
    <row r="71" spans="1:21" x14ac:dyDescent="0.3">
      <c r="A71" s="505">
        <f>3</f>
        <v>3</v>
      </c>
      <c r="B71" s="495"/>
      <c r="C71" s="495"/>
      <c r="D71" s="495"/>
      <c r="E71" s="495"/>
      <c r="F71" s="496" t="str">
        <f t="shared" si="62"/>
        <v/>
      </c>
      <c r="G71" s="497" t="str">
        <f t="shared" si="63"/>
        <v/>
      </c>
      <c r="H71" s="496" t="str">
        <f t="shared" si="64"/>
        <v/>
      </c>
      <c r="I71" s="498" t="str">
        <f t="shared" si="65"/>
        <v/>
      </c>
      <c r="J71" s="498" t="str">
        <f t="shared" si="66"/>
        <v/>
      </c>
      <c r="K71" s="498" t="str">
        <f t="shared" si="67"/>
        <v/>
      </c>
      <c r="L71" s="498" t="str">
        <f t="shared" si="68"/>
        <v/>
      </c>
      <c r="M71" s="492"/>
      <c r="N71" s="498" t="str">
        <f t="shared" si="69"/>
        <v/>
      </c>
      <c r="O71" s="498" t="str">
        <f t="shared" si="70"/>
        <v/>
      </c>
      <c r="P71" s="498" t="str">
        <f t="shared" si="71"/>
        <v/>
      </c>
      <c r="Q71" s="498" t="str">
        <f t="shared" si="72"/>
        <v/>
      </c>
      <c r="R71" s="498" t="str">
        <f t="shared" si="73"/>
        <v/>
      </c>
      <c r="S71" s="498" t="str">
        <f t="shared" si="74"/>
        <v/>
      </c>
      <c r="T71" s="498" t="str">
        <f t="shared" si="75"/>
        <v/>
      </c>
      <c r="U71" s="501" t="str">
        <f t="shared" si="76"/>
        <v/>
      </c>
    </row>
    <row r="72" spans="1:21" x14ac:dyDescent="0.3">
      <c r="A72" s="505">
        <f>3</f>
        <v>3</v>
      </c>
      <c r="B72" s="495"/>
      <c r="C72" s="495"/>
      <c r="D72" s="495"/>
      <c r="E72" s="495"/>
      <c r="F72" s="496" t="str">
        <f t="shared" si="62"/>
        <v/>
      </c>
      <c r="G72" s="497" t="str">
        <f t="shared" si="63"/>
        <v/>
      </c>
      <c r="H72" s="496" t="str">
        <f t="shared" si="64"/>
        <v/>
      </c>
      <c r="I72" s="498" t="str">
        <f t="shared" si="65"/>
        <v/>
      </c>
      <c r="J72" s="498" t="str">
        <f t="shared" si="66"/>
        <v/>
      </c>
      <c r="K72" s="498" t="str">
        <f t="shared" si="67"/>
        <v/>
      </c>
      <c r="L72" s="498" t="str">
        <f t="shared" si="68"/>
        <v/>
      </c>
      <c r="M72" s="492"/>
      <c r="N72" s="498" t="str">
        <f t="shared" si="69"/>
        <v/>
      </c>
      <c r="O72" s="498" t="str">
        <f t="shared" si="70"/>
        <v/>
      </c>
      <c r="P72" s="498" t="str">
        <f t="shared" si="71"/>
        <v/>
      </c>
      <c r="Q72" s="498" t="str">
        <f t="shared" si="72"/>
        <v/>
      </c>
      <c r="R72" s="498" t="str">
        <f t="shared" si="73"/>
        <v/>
      </c>
      <c r="S72" s="498" t="str">
        <f t="shared" si="74"/>
        <v/>
      </c>
      <c r="T72" s="498" t="str">
        <f t="shared" si="75"/>
        <v/>
      </c>
      <c r="U72" s="501" t="str">
        <f t="shared" si="76"/>
        <v/>
      </c>
    </row>
    <row r="73" spans="1:21" x14ac:dyDescent="0.3">
      <c r="A73" s="505">
        <f>3</f>
        <v>3</v>
      </c>
      <c r="B73" s="495"/>
      <c r="C73" s="495"/>
      <c r="D73" s="495"/>
      <c r="E73" s="495"/>
      <c r="F73" s="496" t="str">
        <f t="shared" si="62"/>
        <v/>
      </c>
      <c r="G73" s="497" t="str">
        <f t="shared" si="63"/>
        <v/>
      </c>
      <c r="H73" s="496" t="str">
        <f t="shared" si="64"/>
        <v/>
      </c>
      <c r="I73" s="498" t="str">
        <f t="shared" si="65"/>
        <v/>
      </c>
      <c r="J73" s="498" t="str">
        <f t="shared" si="66"/>
        <v/>
      </c>
      <c r="K73" s="498" t="str">
        <f t="shared" si="67"/>
        <v/>
      </c>
      <c r="L73" s="498" t="str">
        <f t="shared" si="68"/>
        <v/>
      </c>
      <c r="M73" s="492"/>
      <c r="N73" s="498" t="str">
        <f t="shared" si="69"/>
        <v/>
      </c>
      <c r="O73" s="498" t="str">
        <f t="shared" si="70"/>
        <v/>
      </c>
      <c r="P73" s="498" t="str">
        <f t="shared" si="71"/>
        <v/>
      </c>
      <c r="Q73" s="498" t="str">
        <f t="shared" si="72"/>
        <v/>
      </c>
      <c r="R73" s="498" t="str">
        <f t="shared" si="73"/>
        <v/>
      </c>
      <c r="S73" s="498" t="str">
        <f t="shared" si="74"/>
        <v/>
      </c>
      <c r="T73" s="498" t="str">
        <f t="shared" si="75"/>
        <v/>
      </c>
      <c r="U73" s="501" t="str">
        <f t="shared" si="76"/>
        <v/>
      </c>
    </row>
    <row r="74" spans="1:21" x14ac:dyDescent="0.3">
      <c r="A74" s="505">
        <f>3</f>
        <v>3</v>
      </c>
      <c r="B74" s="495"/>
      <c r="C74" s="495"/>
      <c r="D74" s="495"/>
      <c r="E74" s="495"/>
      <c r="F74" s="496" t="str">
        <f t="shared" si="62"/>
        <v/>
      </c>
      <c r="G74" s="497" t="str">
        <f t="shared" si="63"/>
        <v/>
      </c>
      <c r="H74" s="496" t="str">
        <f t="shared" si="64"/>
        <v/>
      </c>
      <c r="I74" s="498" t="str">
        <f t="shared" si="65"/>
        <v/>
      </c>
      <c r="J74" s="498" t="str">
        <f t="shared" si="66"/>
        <v/>
      </c>
      <c r="K74" s="498" t="str">
        <f t="shared" si="67"/>
        <v/>
      </c>
      <c r="L74" s="498" t="str">
        <f t="shared" si="68"/>
        <v/>
      </c>
      <c r="M74" s="492"/>
      <c r="N74" s="498" t="str">
        <f t="shared" si="69"/>
        <v/>
      </c>
      <c r="O74" s="498" t="str">
        <f t="shared" si="70"/>
        <v/>
      </c>
      <c r="P74" s="498" t="str">
        <f t="shared" si="71"/>
        <v/>
      </c>
      <c r="Q74" s="498" t="str">
        <f t="shared" si="72"/>
        <v/>
      </c>
      <c r="R74" s="498" t="str">
        <f t="shared" si="73"/>
        <v/>
      </c>
      <c r="S74" s="498" t="str">
        <f t="shared" si="74"/>
        <v/>
      </c>
      <c r="T74" s="498" t="str">
        <f t="shared" si="75"/>
        <v/>
      </c>
      <c r="U74" s="501" t="str">
        <f t="shared" si="76"/>
        <v/>
      </c>
    </row>
    <row r="75" spans="1:21" x14ac:dyDescent="0.3">
      <c r="A75" s="505">
        <f>3</f>
        <v>3</v>
      </c>
      <c r="B75" s="495"/>
      <c r="C75" s="495"/>
      <c r="D75" s="495"/>
      <c r="E75" s="495"/>
      <c r="F75" s="496" t="str">
        <f t="shared" si="62"/>
        <v/>
      </c>
      <c r="G75" s="497" t="str">
        <f t="shared" si="63"/>
        <v/>
      </c>
      <c r="H75" s="496" t="str">
        <f t="shared" si="64"/>
        <v/>
      </c>
      <c r="I75" s="498" t="str">
        <f t="shared" si="65"/>
        <v/>
      </c>
      <c r="J75" s="498" t="str">
        <f t="shared" si="66"/>
        <v/>
      </c>
      <c r="K75" s="498" t="str">
        <f t="shared" si="67"/>
        <v/>
      </c>
      <c r="L75" s="498" t="str">
        <f t="shared" si="68"/>
        <v/>
      </c>
      <c r="M75" s="492"/>
      <c r="N75" s="498" t="str">
        <f t="shared" si="69"/>
        <v/>
      </c>
      <c r="O75" s="498" t="str">
        <f t="shared" si="70"/>
        <v/>
      </c>
      <c r="P75" s="498" t="str">
        <f t="shared" si="71"/>
        <v/>
      </c>
      <c r="Q75" s="498" t="str">
        <f t="shared" si="72"/>
        <v/>
      </c>
      <c r="R75" s="498" t="str">
        <f t="shared" si="73"/>
        <v/>
      </c>
      <c r="S75" s="498" t="str">
        <f t="shared" si="74"/>
        <v/>
      </c>
      <c r="T75" s="498" t="str">
        <f t="shared" si="75"/>
        <v/>
      </c>
      <c r="U75" s="501" t="str">
        <f t="shared" si="76"/>
        <v/>
      </c>
    </row>
    <row r="76" spans="1:21" x14ac:dyDescent="0.3">
      <c r="A76" s="505">
        <f>3</f>
        <v>3</v>
      </c>
      <c r="B76" s="495"/>
      <c r="C76" s="495"/>
      <c r="D76" s="495"/>
      <c r="E76" s="495"/>
      <c r="F76" s="496" t="str">
        <f t="shared" si="62"/>
        <v/>
      </c>
      <c r="G76" s="497" t="str">
        <f t="shared" si="63"/>
        <v/>
      </c>
      <c r="H76" s="496" t="str">
        <f t="shared" si="64"/>
        <v/>
      </c>
      <c r="I76" s="498" t="str">
        <f t="shared" si="65"/>
        <v/>
      </c>
      <c r="J76" s="498" t="str">
        <f t="shared" si="66"/>
        <v/>
      </c>
      <c r="K76" s="498" t="str">
        <f t="shared" si="67"/>
        <v/>
      </c>
      <c r="L76" s="498" t="str">
        <f t="shared" si="68"/>
        <v/>
      </c>
      <c r="M76" s="492"/>
      <c r="N76" s="498" t="str">
        <f t="shared" si="69"/>
        <v/>
      </c>
      <c r="O76" s="498" t="str">
        <f t="shared" si="70"/>
        <v/>
      </c>
      <c r="P76" s="498" t="str">
        <f t="shared" si="71"/>
        <v/>
      </c>
      <c r="Q76" s="498" t="str">
        <f t="shared" si="72"/>
        <v/>
      </c>
      <c r="R76" s="498" t="str">
        <f t="shared" si="73"/>
        <v/>
      </c>
      <c r="S76" s="498" t="str">
        <f t="shared" si="74"/>
        <v/>
      </c>
      <c r="T76" s="498" t="str">
        <f t="shared" si="75"/>
        <v/>
      </c>
      <c r="U76" s="501" t="str">
        <f t="shared" si="76"/>
        <v/>
      </c>
    </row>
    <row r="77" spans="1:21" x14ac:dyDescent="0.3">
      <c r="A77" s="505">
        <f>3</f>
        <v>3</v>
      </c>
      <c r="B77" s="495"/>
      <c r="C77" s="495"/>
      <c r="D77" s="495"/>
      <c r="E77" s="495"/>
      <c r="F77" s="496" t="str">
        <f t="shared" si="62"/>
        <v/>
      </c>
      <c r="G77" s="497" t="str">
        <f t="shared" si="63"/>
        <v/>
      </c>
      <c r="H77" s="496" t="str">
        <f t="shared" si="64"/>
        <v/>
      </c>
      <c r="I77" s="498" t="str">
        <f t="shared" si="65"/>
        <v/>
      </c>
      <c r="J77" s="498" t="str">
        <f t="shared" si="66"/>
        <v/>
      </c>
      <c r="K77" s="498" t="str">
        <f t="shared" si="67"/>
        <v/>
      </c>
      <c r="L77" s="498" t="str">
        <f t="shared" si="68"/>
        <v/>
      </c>
      <c r="M77" s="492"/>
      <c r="N77" s="498" t="str">
        <f t="shared" si="69"/>
        <v/>
      </c>
      <c r="O77" s="498" t="str">
        <f t="shared" si="70"/>
        <v/>
      </c>
      <c r="P77" s="498" t="str">
        <f t="shared" si="71"/>
        <v/>
      </c>
      <c r="Q77" s="498" t="str">
        <f t="shared" si="72"/>
        <v/>
      </c>
      <c r="R77" s="498" t="str">
        <f t="shared" si="73"/>
        <v/>
      </c>
      <c r="S77" s="498" t="str">
        <f t="shared" si="74"/>
        <v/>
      </c>
      <c r="T77" s="498" t="str">
        <f t="shared" si="75"/>
        <v/>
      </c>
      <c r="U77" s="501" t="str">
        <f t="shared" si="76"/>
        <v/>
      </c>
    </row>
    <row r="78" spans="1:21" x14ac:dyDescent="0.3">
      <c r="A78" s="505">
        <f>3</f>
        <v>3</v>
      </c>
      <c r="B78" s="495"/>
      <c r="C78" s="495"/>
      <c r="D78" s="495"/>
      <c r="E78" s="495"/>
      <c r="F78" s="496" t="str">
        <f t="shared" si="62"/>
        <v/>
      </c>
      <c r="G78" s="497" t="str">
        <f t="shared" si="63"/>
        <v/>
      </c>
      <c r="H78" s="496" t="str">
        <f t="shared" si="64"/>
        <v/>
      </c>
      <c r="I78" s="498" t="str">
        <f t="shared" si="65"/>
        <v/>
      </c>
      <c r="J78" s="498" t="str">
        <f t="shared" si="66"/>
        <v/>
      </c>
      <c r="K78" s="498" t="str">
        <f t="shared" si="67"/>
        <v/>
      </c>
      <c r="L78" s="498" t="str">
        <f t="shared" si="68"/>
        <v/>
      </c>
      <c r="M78" s="492"/>
      <c r="N78" s="498" t="str">
        <f t="shared" si="69"/>
        <v/>
      </c>
      <c r="O78" s="498" t="str">
        <f t="shared" si="70"/>
        <v/>
      </c>
      <c r="P78" s="498" t="str">
        <f t="shared" si="71"/>
        <v/>
      </c>
      <c r="Q78" s="498" t="str">
        <f t="shared" si="72"/>
        <v/>
      </c>
      <c r="R78" s="498" t="str">
        <f t="shared" si="73"/>
        <v/>
      </c>
      <c r="S78" s="498" t="str">
        <f t="shared" si="74"/>
        <v/>
      </c>
      <c r="T78" s="498" t="str">
        <f t="shared" si="75"/>
        <v/>
      </c>
      <c r="U78" s="501" t="str">
        <f t="shared" si="76"/>
        <v/>
      </c>
    </row>
    <row r="79" spans="1:21" x14ac:dyDescent="0.3">
      <c r="B79" s="431" t="s">
        <v>139</v>
      </c>
      <c r="C79" s="253">
        <f>COUNT(B69:B78)</f>
        <v>0</v>
      </c>
      <c r="D79" s="445"/>
      <c r="E79" s="445"/>
      <c r="F79" s="445"/>
      <c r="G79" s="445"/>
      <c r="J79" s="502" t="s">
        <v>104</v>
      </c>
      <c r="K79" s="254" t="str">
        <f>IF($A69&lt;=$B$5,SUM(K69:K78),"")</f>
        <v/>
      </c>
      <c r="L79" s="254" t="str">
        <f>IF($A69&lt;=$B$5,SUM(L69:L78),"")</f>
        <v/>
      </c>
      <c r="M79" s="492"/>
      <c r="N79" s="254">
        <f t="shared" ref="N79:U79" si="77">SUM(N69:N78)</f>
        <v>0</v>
      </c>
      <c r="O79" s="256">
        <f t="shared" si="77"/>
        <v>0</v>
      </c>
      <c r="P79" s="256">
        <f t="shared" si="77"/>
        <v>0</v>
      </c>
      <c r="Q79" s="256">
        <f t="shared" si="77"/>
        <v>0</v>
      </c>
      <c r="R79" s="256">
        <f t="shared" si="77"/>
        <v>0</v>
      </c>
      <c r="S79" s="256">
        <f t="shared" si="77"/>
        <v>0</v>
      </c>
      <c r="T79" s="256">
        <f t="shared" si="77"/>
        <v>0</v>
      </c>
      <c r="U79" s="256">
        <f t="shared" si="77"/>
        <v>0</v>
      </c>
    </row>
    <row r="80" spans="1:21" x14ac:dyDescent="0.3">
      <c r="P80" s="458"/>
      <c r="Q80" s="458"/>
      <c r="R80" s="458"/>
      <c r="S80" s="458"/>
      <c r="T80" s="458"/>
      <c r="U80" s="458"/>
    </row>
    <row r="81" spans="1:21" x14ac:dyDescent="0.3">
      <c r="P81" s="458"/>
      <c r="Q81" s="458"/>
      <c r="R81" s="458"/>
      <c r="S81" s="458"/>
      <c r="T81" s="458"/>
      <c r="U81" s="458"/>
    </row>
    <row r="82" spans="1:21" x14ac:dyDescent="0.3">
      <c r="P82" s="458"/>
      <c r="Q82" s="458"/>
      <c r="R82" s="458"/>
      <c r="S82" s="458"/>
      <c r="T82" s="458"/>
      <c r="U82" s="458"/>
    </row>
    <row r="83" spans="1:21" x14ac:dyDescent="0.3">
      <c r="P83" s="458"/>
      <c r="Q83" s="458"/>
      <c r="R83" s="458"/>
      <c r="S83" s="458"/>
      <c r="T83" s="458"/>
      <c r="U83" s="458"/>
    </row>
    <row r="84" spans="1:21" x14ac:dyDescent="0.3">
      <c r="A84" s="445"/>
      <c r="B84" s="445"/>
      <c r="C84" s="483"/>
      <c r="D84" s="484" t="s">
        <v>793</v>
      </c>
      <c r="E84" s="485"/>
      <c r="F84" s="445"/>
      <c r="G84" s="445"/>
      <c r="H84" s="445"/>
      <c r="I84" s="445"/>
      <c r="J84" s="483"/>
      <c r="K84" s="484" t="s">
        <v>803</v>
      </c>
      <c r="L84" s="485"/>
      <c r="M84" s="492"/>
      <c r="N84" s="522"/>
      <c r="O84" s="488"/>
      <c r="P84" s="488"/>
      <c r="Q84" s="489" t="s">
        <v>136</v>
      </c>
      <c r="R84" s="488"/>
      <c r="S84" s="488"/>
      <c r="T84" s="488"/>
      <c r="U84" s="490"/>
    </row>
    <row r="85" spans="1:21" ht="21" x14ac:dyDescent="0.3">
      <c r="A85" s="491" t="s">
        <v>135</v>
      </c>
      <c r="B85" s="491" t="s">
        <v>143</v>
      </c>
      <c r="C85" s="491" t="s">
        <v>157</v>
      </c>
      <c r="D85" s="491" t="s">
        <v>1029</v>
      </c>
      <c r="E85" s="491" t="s">
        <v>1030</v>
      </c>
      <c r="F85" s="491" t="s">
        <v>973</v>
      </c>
      <c r="G85" s="491" t="s">
        <v>153</v>
      </c>
      <c r="H85" s="491" t="s">
        <v>158</v>
      </c>
      <c r="I85" s="491" t="s">
        <v>985</v>
      </c>
      <c r="J85" s="491" t="s">
        <v>975</v>
      </c>
      <c r="K85" s="491" t="s">
        <v>976</v>
      </c>
      <c r="L85" s="491" t="s">
        <v>977</v>
      </c>
      <c r="M85" s="492" t="s">
        <v>824</v>
      </c>
      <c r="N85" s="523" t="s">
        <v>137</v>
      </c>
      <c r="O85" s="523" t="s">
        <v>138</v>
      </c>
      <c r="P85" s="523" t="s">
        <v>161</v>
      </c>
      <c r="Q85" s="523" t="s">
        <v>162</v>
      </c>
      <c r="R85" s="523" t="s">
        <v>163</v>
      </c>
      <c r="S85" s="523" t="s">
        <v>164</v>
      </c>
      <c r="T85" s="523" t="s">
        <v>165</v>
      </c>
      <c r="U85" s="523" t="s">
        <v>166</v>
      </c>
    </row>
    <row r="86" spans="1:21" x14ac:dyDescent="0.3">
      <c r="A86" s="505">
        <f>4</f>
        <v>4</v>
      </c>
      <c r="B86" s="495"/>
      <c r="C86" s="495"/>
      <c r="D86" s="495"/>
      <c r="E86" s="495"/>
      <c r="F86" s="496" t="str">
        <f t="shared" ref="F86:F95" si="78">IF(B86="", "",
    IFERROR(
        IF(
            VLOOKUP(B86,HalimedaInitialMetrics,11,FALSE)="EC",
            ((PI()*(E86*0.5)*(D86*0.5)*C86)/3)/1000,
            IF(
                VLOOKUP(B86,HalimedaInitialMetrics,11,FALSE)="HE",
                ((PI()*(2/3)*(E86*0.5)*(D86*0.5)*C86))/1000,
                ""
            )
        ),
        ""
    )
)</f>
        <v/>
      </c>
      <c r="G86" s="497" t="str">
        <f t="shared" ref="G86:G95" si="79">IF(B86=1,$G$11,IF(B86=2,$G$12,IF(B86=3,$G$13,IF(B86=4,$G$14,IF(B86=5,$G$15,IF(B86=6,$G$16,IF(B86=7,$G$17,IF(B86=8,$G$18,""))))))))</f>
        <v/>
      </c>
      <c r="H86" s="496" t="str">
        <f t="shared" ref="H86:H95" si="80">IF(B86=1,F86*D$11,IF(B86=2,F86*D$12,IF(B86=3,F86*D$13,IF(B86=4,F86*D$14,IF(B86=5,F86*D$15,IF(B86=6,F86*D$16,IF(B86=7,F86*D$17,IF(B86=8,F86*D$18,""))))))))</f>
        <v/>
      </c>
      <c r="I86" s="498" t="str">
        <f t="shared" ref="I86:I95" si="81">IF(B86=1,$J$11,IF(B86=2,$J$12,IF(B86=3,$J$13,IF(B86=4,$J$14,IF(B86=5,$J$15,IF(B86=6,$J$16,IF(B86=7,$J$17,IF(B86=8,$J$18,""))))))))</f>
        <v/>
      </c>
      <c r="J86" s="498" t="str">
        <f t="shared" ref="J86:J95" si="82">IFERROR((H86*I86)*G86, "")</f>
        <v/>
      </c>
      <c r="K86" s="498" t="str">
        <f t="shared" ref="K86:K95" si="83">IFERROR(J86*(1/$B$6),"")</f>
        <v/>
      </c>
      <c r="L86" s="498" t="str">
        <f t="shared" ref="L86:L95" si="84">IFERROR(K86/1000,"")</f>
        <v/>
      </c>
      <c r="M86" s="492"/>
      <c r="N86" s="498" t="str">
        <f t="shared" ref="N86:N95" si="85">IF($B86=1, $L86,"")</f>
        <v/>
      </c>
      <c r="O86" s="498" t="str">
        <f t="shared" ref="O86:O95" si="86">IF($B86=2, $L86,"")</f>
        <v/>
      </c>
      <c r="P86" s="498" t="str">
        <f t="shared" ref="P86:P95" si="87">IF($B86=3, $L86,"")</f>
        <v/>
      </c>
      <c r="Q86" s="498" t="str">
        <f t="shared" ref="Q86:Q95" si="88">IF($B86=4, $L86,"")</f>
        <v/>
      </c>
      <c r="R86" s="498" t="str">
        <f t="shared" ref="R86:R95" si="89">IF($B86=5, $L86,"")</f>
        <v/>
      </c>
      <c r="S86" s="498" t="str">
        <f t="shared" ref="S86:S95" si="90">IF($B86=6, $L86,"")</f>
        <v/>
      </c>
      <c r="T86" s="498" t="str">
        <f t="shared" ref="T86:T95" si="91">IF($B86=7, $L86,"")</f>
        <v/>
      </c>
      <c r="U86" s="501" t="str">
        <f t="shared" ref="U86:U95" si="92">IF($B86=8, $L86,"")</f>
        <v/>
      </c>
    </row>
    <row r="87" spans="1:21" x14ac:dyDescent="0.3">
      <c r="A87" s="505">
        <f>4</f>
        <v>4</v>
      </c>
      <c r="B87" s="495"/>
      <c r="C87" s="495"/>
      <c r="D87" s="495"/>
      <c r="E87" s="495"/>
      <c r="F87" s="496" t="str">
        <f t="shared" si="78"/>
        <v/>
      </c>
      <c r="G87" s="497" t="str">
        <f t="shared" si="79"/>
        <v/>
      </c>
      <c r="H87" s="496" t="str">
        <f t="shared" si="80"/>
        <v/>
      </c>
      <c r="I87" s="498" t="str">
        <f t="shared" si="81"/>
        <v/>
      </c>
      <c r="J87" s="498" t="str">
        <f t="shared" si="82"/>
        <v/>
      </c>
      <c r="K87" s="498" t="str">
        <f t="shared" si="83"/>
        <v/>
      </c>
      <c r="L87" s="498" t="str">
        <f t="shared" si="84"/>
        <v/>
      </c>
      <c r="M87" s="492"/>
      <c r="N87" s="498" t="str">
        <f t="shared" si="85"/>
        <v/>
      </c>
      <c r="O87" s="498" t="str">
        <f t="shared" si="86"/>
        <v/>
      </c>
      <c r="P87" s="498" t="str">
        <f t="shared" si="87"/>
        <v/>
      </c>
      <c r="Q87" s="498" t="str">
        <f t="shared" si="88"/>
        <v/>
      </c>
      <c r="R87" s="498" t="str">
        <f t="shared" si="89"/>
        <v/>
      </c>
      <c r="S87" s="498" t="str">
        <f t="shared" si="90"/>
        <v/>
      </c>
      <c r="T87" s="498" t="str">
        <f t="shared" si="91"/>
        <v/>
      </c>
      <c r="U87" s="501" t="str">
        <f t="shared" si="92"/>
        <v/>
      </c>
    </row>
    <row r="88" spans="1:21" x14ac:dyDescent="0.3">
      <c r="A88" s="505">
        <f>4</f>
        <v>4</v>
      </c>
      <c r="B88" s="495"/>
      <c r="C88" s="495"/>
      <c r="D88" s="495"/>
      <c r="E88" s="495"/>
      <c r="F88" s="496" t="str">
        <f t="shared" si="78"/>
        <v/>
      </c>
      <c r="G88" s="497" t="str">
        <f t="shared" si="79"/>
        <v/>
      </c>
      <c r="H88" s="496" t="str">
        <f t="shared" si="80"/>
        <v/>
      </c>
      <c r="I88" s="498" t="str">
        <f t="shared" si="81"/>
        <v/>
      </c>
      <c r="J88" s="498" t="str">
        <f t="shared" si="82"/>
        <v/>
      </c>
      <c r="K88" s="498" t="str">
        <f t="shared" si="83"/>
        <v/>
      </c>
      <c r="L88" s="498" t="str">
        <f t="shared" si="84"/>
        <v/>
      </c>
      <c r="M88" s="492"/>
      <c r="N88" s="498" t="str">
        <f t="shared" si="85"/>
        <v/>
      </c>
      <c r="O88" s="498" t="str">
        <f t="shared" si="86"/>
        <v/>
      </c>
      <c r="P88" s="498" t="str">
        <f t="shared" si="87"/>
        <v/>
      </c>
      <c r="Q88" s="498" t="str">
        <f t="shared" si="88"/>
        <v/>
      </c>
      <c r="R88" s="498" t="str">
        <f t="shared" si="89"/>
        <v/>
      </c>
      <c r="S88" s="498" t="str">
        <f t="shared" si="90"/>
        <v/>
      </c>
      <c r="T88" s="498" t="str">
        <f t="shared" si="91"/>
        <v/>
      </c>
      <c r="U88" s="501" t="str">
        <f t="shared" si="92"/>
        <v/>
      </c>
    </row>
    <row r="89" spans="1:21" x14ac:dyDescent="0.3">
      <c r="A89" s="505">
        <f>4</f>
        <v>4</v>
      </c>
      <c r="B89" s="495"/>
      <c r="C89" s="495"/>
      <c r="D89" s="495"/>
      <c r="E89" s="495"/>
      <c r="F89" s="496" t="str">
        <f t="shared" si="78"/>
        <v/>
      </c>
      <c r="G89" s="497" t="str">
        <f t="shared" si="79"/>
        <v/>
      </c>
      <c r="H89" s="496" t="str">
        <f t="shared" si="80"/>
        <v/>
      </c>
      <c r="I89" s="498" t="str">
        <f t="shared" si="81"/>
        <v/>
      </c>
      <c r="J89" s="498" t="str">
        <f t="shared" si="82"/>
        <v/>
      </c>
      <c r="K89" s="498" t="str">
        <f t="shared" si="83"/>
        <v/>
      </c>
      <c r="L89" s="498" t="str">
        <f t="shared" si="84"/>
        <v/>
      </c>
      <c r="M89" s="492"/>
      <c r="N89" s="498" t="str">
        <f t="shared" si="85"/>
        <v/>
      </c>
      <c r="O89" s="498" t="str">
        <f t="shared" si="86"/>
        <v/>
      </c>
      <c r="P89" s="498" t="str">
        <f t="shared" si="87"/>
        <v/>
      </c>
      <c r="Q89" s="498" t="str">
        <f t="shared" si="88"/>
        <v/>
      </c>
      <c r="R89" s="498" t="str">
        <f t="shared" si="89"/>
        <v/>
      </c>
      <c r="S89" s="498" t="str">
        <f t="shared" si="90"/>
        <v/>
      </c>
      <c r="T89" s="498" t="str">
        <f t="shared" si="91"/>
        <v/>
      </c>
      <c r="U89" s="501" t="str">
        <f t="shared" si="92"/>
        <v/>
      </c>
    </row>
    <row r="90" spans="1:21" x14ac:dyDescent="0.3">
      <c r="A90" s="505">
        <f>4</f>
        <v>4</v>
      </c>
      <c r="B90" s="495"/>
      <c r="C90" s="495"/>
      <c r="D90" s="495"/>
      <c r="E90" s="495"/>
      <c r="F90" s="496" t="str">
        <f t="shared" si="78"/>
        <v/>
      </c>
      <c r="G90" s="497" t="str">
        <f t="shared" si="79"/>
        <v/>
      </c>
      <c r="H90" s="496" t="str">
        <f t="shared" si="80"/>
        <v/>
      </c>
      <c r="I90" s="498" t="str">
        <f t="shared" si="81"/>
        <v/>
      </c>
      <c r="J90" s="498" t="str">
        <f t="shared" si="82"/>
        <v/>
      </c>
      <c r="K90" s="498" t="str">
        <f t="shared" si="83"/>
        <v/>
      </c>
      <c r="L90" s="498" t="str">
        <f t="shared" si="84"/>
        <v/>
      </c>
      <c r="M90" s="492"/>
      <c r="N90" s="498" t="str">
        <f t="shared" si="85"/>
        <v/>
      </c>
      <c r="O90" s="498" t="str">
        <f t="shared" si="86"/>
        <v/>
      </c>
      <c r="P90" s="498" t="str">
        <f t="shared" si="87"/>
        <v/>
      </c>
      <c r="Q90" s="498" t="str">
        <f t="shared" si="88"/>
        <v/>
      </c>
      <c r="R90" s="498" t="str">
        <f t="shared" si="89"/>
        <v/>
      </c>
      <c r="S90" s="498" t="str">
        <f t="shared" si="90"/>
        <v/>
      </c>
      <c r="T90" s="498" t="str">
        <f t="shared" si="91"/>
        <v/>
      </c>
      <c r="U90" s="501" t="str">
        <f t="shared" si="92"/>
        <v/>
      </c>
    </row>
    <row r="91" spans="1:21" x14ac:dyDescent="0.3">
      <c r="A91" s="505">
        <f>4</f>
        <v>4</v>
      </c>
      <c r="B91" s="495"/>
      <c r="C91" s="495"/>
      <c r="D91" s="495"/>
      <c r="E91" s="495"/>
      <c r="F91" s="496" t="str">
        <f t="shared" si="78"/>
        <v/>
      </c>
      <c r="G91" s="497" t="str">
        <f t="shared" si="79"/>
        <v/>
      </c>
      <c r="H91" s="496" t="str">
        <f t="shared" si="80"/>
        <v/>
      </c>
      <c r="I91" s="498" t="str">
        <f t="shared" si="81"/>
        <v/>
      </c>
      <c r="J91" s="498" t="str">
        <f t="shared" si="82"/>
        <v/>
      </c>
      <c r="K91" s="498" t="str">
        <f t="shared" si="83"/>
        <v/>
      </c>
      <c r="L91" s="498" t="str">
        <f t="shared" si="84"/>
        <v/>
      </c>
      <c r="M91" s="492"/>
      <c r="N91" s="498" t="str">
        <f t="shared" si="85"/>
        <v/>
      </c>
      <c r="O91" s="498" t="str">
        <f t="shared" si="86"/>
        <v/>
      </c>
      <c r="P91" s="498" t="str">
        <f t="shared" si="87"/>
        <v/>
      </c>
      <c r="Q91" s="498" t="str">
        <f t="shared" si="88"/>
        <v/>
      </c>
      <c r="R91" s="498" t="str">
        <f t="shared" si="89"/>
        <v/>
      </c>
      <c r="S91" s="498" t="str">
        <f t="shared" si="90"/>
        <v/>
      </c>
      <c r="T91" s="498" t="str">
        <f t="shared" si="91"/>
        <v/>
      </c>
      <c r="U91" s="501" t="str">
        <f t="shared" si="92"/>
        <v/>
      </c>
    </row>
    <row r="92" spans="1:21" x14ac:dyDescent="0.3">
      <c r="A92" s="505">
        <f>4</f>
        <v>4</v>
      </c>
      <c r="B92" s="495"/>
      <c r="C92" s="495"/>
      <c r="D92" s="495"/>
      <c r="E92" s="495"/>
      <c r="F92" s="496" t="str">
        <f t="shared" si="78"/>
        <v/>
      </c>
      <c r="G92" s="497" t="str">
        <f t="shared" si="79"/>
        <v/>
      </c>
      <c r="H92" s="496" t="str">
        <f t="shared" si="80"/>
        <v/>
      </c>
      <c r="I92" s="498" t="str">
        <f t="shared" si="81"/>
        <v/>
      </c>
      <c r="J92" s="498" t="str">
        <f t="shared" si="82"/>
        <v/>
      </c>
      <c r="K92" s="498" t="str">
        <f t="shared" si="83"/>
        <v/>
      </c>
      <c r="L92" s="498" t="str">
        <f t="shared" si="84"/>
        <v/>
      </c>
      <c r="M92" s="492"/>
      <c r="N92" s="498" t="str">
        <f t="shared" si="85"/>
        <v/>
      </c>
      <c r="O92" s="498" t="str">
        <f t="shared" si="86"/>
        <v/>
      </c>
      <c r="P92" s="498" t="str">
        <f t="shared" si="87"/>
        <v/>
      </c>
      <c r="Q92" s="498" t="str">
        <f t="shared" si="88"/>
        <v/>
      </c>
      <c r="R92" s="498" t="str">
        <f t="shared" si="89"/>
        <v/>
      </c>
      <c r="S92" s="498" t="str">
        <f t="shared" si="90"/>
        <v/>
      </c>
      <c r="T92" s="498" t="str">
        <f t="shared" si="91"/>
        <v/>
      </c>
      <c r="U92" s="501" t="str">
        <f t="shared" si="92"/>
        <v/>
      </c>
    </row>
    <row r="93" spans="1:21" x14ac:dyDescent="0.3">
      <c r="A93" s="505">
        <f>4</f>
        <v>4</v>
      </c>
      <c r="B93" s="495"/>
      <c r="C93" s="495"/>
      <c r="D93" s="495"/>
      <c r="E93" s="495"/>
      <c r="F93" s="496" t="str">
        <f t="shared" si="78"/>
        <v/>
      </c>
      <c r="G93" s="497" t="str">
        <f t="shared" si="79"/>
        <v/>
      </c>
      <c r="H93" s="496" t="str">
        <f t="shared" si="80"/>
        <v/>
      </c>
      <c r="I93" s="498" t="str">
        <f t="shared" si="81"/>
        <v/>
      </c>
      <c r="J93" s="498" t="str">
        <f t="shared" si="82"/>
        <v/>
      </c>
      <c r="K93" s="498" t="str">
        <f t="shared" si="83"/>
        <v/>
      </c>
      <c r="L93" s="498" t="str">
        <f t="shared" si="84"/>
        <v/>
      </c>
      <c r="M93" s="492"/>
      <c r="N93" s="498" t="str">
        <f t="shared" si="85"/>
        <v/>
      </c>
      <c r="O93" s="498" t="str">
        <f t="shared" si="86"/>
        <v/>
      </c>
      <c r="P93" s="498" t="str">
        <f t="shared" si="87"/>
        <v/>
      </c>
      <c r="Q93" s="498" t="str">
        <f t="shared" si="88"/>
        <v/>
      </c>
      <c r="R93" s="498" t="str">
        <f t="shared" si="89"/>
        <v/>
      </c>
      <c r="S93" s="498" t="str">
        <f t="shared" si="90"/>
        <v/>
      </c>
      <c r="T93" s="498" t="str">
        <f t="shared" si="91"/>
        <v/>
      </c>
      <c r="U93" s="501" t="str">
        <f t="shared" si="92"/>
        <v/>
      </c>
    </row>
    <row r="94" spans="1:21" x14ac:dyDescent="0.3">
      <c r="A94" s="505">
        <f>4</f>
        <v>4</v>
      </c>
      <c r="B94" s="495"/>
      <c r="C94" s="495"/>
      <c r="D94" s="495"/>
      <c r="E94" s="495"/>
      <c r="F94" s="496" t="str">
        <f t="shared" si="78"/>
        <v/>
      </c>
      <c r="G94" s="497" t="str">
        <f t="shared" si="79"/>
        <v/>
      </c>
      <c r="H94" s="496" t="str">
        <f t="shared" si="80"/>
        <v/>
      </c>
      <c r="I94" s="498" t="str">
        <f t="shared" si="81"/>
        <v/>
      </c>
      <c r="J94" s="498" t="str">
        <f t="shared" si="82"/>
        <v/>
      </c>
      <c r="K94" s="498" t="str">
        <f t="shared" si="83"/>
        <v/>
      </c>
      <c r="L94" s="498" t="str">
        <f t="shared" si="84"/>
        <v/>
      </c>
      <c r="M94" s="492"/>
      <c r="N94" s="498" t="str">
        <f t="shared" si="85"/>
        <v/>
      </c>
      <c r="O94" s="498" t="str">
        <f t="shared" si="86"/>
        <v/>
      </c>
      <c r="P94" s="498" t="str">
        <f t="shared" si="87"/>
        <v/>
      </c>
      <c r="Q94" s="498" t="str">
        <f t="shared" si="88"/>
        <v/>
      </c>
      <c r="R94" s="498" t="str">
        <f t="shared" si="89"/>
        <v/>
      </c>
      <c r="S94" s="498" t="str">
        <f t="shared" si="90"/>
        <v/>
      </c>
      <c r="T94" s="498" t="str">
        <f t="shared" si="91"/>
        <v/>
      </c>
      <c r="U94" s="501" t="str">
        <f t="shared" si="92"/>
        <v/>
      </c>
    </row>
    <row r="95" spans="1:21" x14ac:dyDescent="0.3">
      <c r="A95" s="505">
        <f>4</f>
        <v>4</v>
      </c>
      <c r="B95" s="495"/>
      <c r="C95" s="495"/>
      <c r="D95" s="495"/>
      <c r="E95" s="495"/>
      <c r="F95" s="496" t="str">
        <f t="shared" si="78"/>
        <v/>
      </c>
      <c r="G95" s="497" t="str">
        <f t="shared" si="79"/>
        <v/>
      </c>
      <c r="H95" s="496" t="str">
        <f t="shared" si="80"/>
        <v/>
      </c>
      <c r="I95" s="498" t="str">
        <f t="shared" si="81"/>
        <v/>
      </c>
      <c r="J95" s="498" t="str">
        <f t="shared" si="82"/>
        <v/>
      </c>
      <c r="K95" s="498" t="str">
        <f t="shared" si="83"/>
        <v/>
      </c>
      <c r="L95" s="498" t="str">
        <f t="shared" si="84"/>
        <v/>
      </c>
      <c r="M95" s="492"/>
      <c r="N95" s="498" t="str">
        <f t="shared" si="85"/>
        <v/>
      </c>
      <c r="O95" s="498" t="str">
        <f t="shared" si="86"/>
        <v/>
      </c>
      <c r="P95" s="498" t="str">
        <f t="shared" si="87"/>
        <v/>
      </c>
      <c r="Q95" s="498" t="str">
        <f t="shared" si="88"/>
        <v/>
      </c>
      <c r="R95" s="498" t="str">
        <f t="shared" si="89"/>
        <v/>
      </c>
      <c r="S95" s="498" t="str">
        <f t="shared" si="90"/>
        <v/>
      </c>
      <c r="T95" s="498" t="str">
        <f t="shared" si="91"/>
        <v/>
      </c>
      <c r="U95" s="501" t="str">
        <f t="shared" si="92"/>
        <v/>
      </c>
    </row>
    <row r="96" spans="1:21" x14ac:dyDescent="0.3">
      <c r="B96" s="431" t="s">
        <v>139</v>
      </c>
      <c r="C96" s="253">
        <f>COUNT(B86:B95)</f>
        <v>0</v>
      </c>
      <c r="D96" s="445"/>
      <c r="E96" s="445"/>
      <c r="F96" s="445"/>
      <c r="G96" s="445"/>
      <c r="J96" s="502" t="s">
        <v>104</v>
      </c>
      <c r="K96" s="254" t="str">
        <f>IF($A86&lt;=$B$5,SUM(K86:K95),"")</f>
        <v/>
      </c>
      <c r="L96" s="254" t="str">
        <f>IF($A86&lt;=$B$5,SUM(L86:L95),"")</f>
        <v/>
      </c>
      <c r="M96" s="492"/>
      <c r="N96" s="254">
        <f t="shared" ref="N96:U96" si="93">SUM(N86:N95)</f>
        <v>0</v>
      </c>
      <c r="O96" s="256">
        <f t="shared" si="93"/>
        <v>0</v>
      </c>
      <c r="P96" s="256">
        <f t="shared" si="93"/>
        <v>0</v>
      </c>
      <c r="Q96" s="256">
        <f t="shared" si="93"/>
        <v>0</v>
      </c>
      <c r="R96" s="256">
        <f t="shared" si="93"/>
        <v>0</v>
      </c>
      <c r="S96" s="256">
        <f t="shared" si="93"/>
        <v>0</v>
      </c>
      <c r="T96" s="256">
        <f t="shared" si="93"/>
        <v>0</v>
      </c>
      <c r="U96" s="256">
        <f t="shared" si="93"/>
        <v>0</v>
      </c>
    </row>
    <row r="97" spans="1:21" x14ac:dyDescent="0.3">
      <c r="P97" s="458"/>
      <c r="Q97" s="458"/>
      <c r="R97" s="458"/>
      <c r="S97" s="458"/>
      <c r="T97" s="458"/>
      <c r="U97" s="458"/>
    </row>
    <row r="98" spans="1:21" x14ac:dyDescent="0.3">
      <c r="P98" s="458"/>
      <c r="Q98" s="458"/>
      <c r="R98" s="458"/>
      <c r="S98" s="458"/>
      <c r="T98" s="458"/>
      <c r="U98" s="458"/>
    </row>
    <row r="99" spans="1:21" x14ac:dyDescent="0.3">
      <c r="P99" s="458"/>
      <c r="Q99" s="458"/>
      <c r="R99" s="458"/>
      <c r="S99" s="458"/>
      <c r="T99" s="458"/>
      <c r="U99" s="458"/>
    </row>
    <row r="100" spans="1:21" x14ac:dyDescent="0.3">
      <c r="P100" s="458"/>
      <c r="Q100" s="458"/>
      <c r="R100" s="458"/>
      <c r="S100" s="458"/>
      <c r="T100" s="458"/>
      <c r="U100" s="458"/>
    </row>
    <row r="101" spans="1:21" x14ac:dyDescent="0.3">
      <c r="A101" s="445"/>
      <c r="B101" s="445"/>
      <c r="C101" s="483"/>
      <c r="D101" s="484" t="s">
        <v>793</v>
      </c>
      <c r="E101" s="485"/>
      <c r="F101" s="445"/>
      <c r="G101" s="445"/>
      <c r="H101" s="445"/>
      <c r="I101" s="445"/>
      <c r="J101" s="483"/>
      <c r="K101" s="484" t="s">
        <v>803</v>
      </c>
      <c r="L101" s="485"/>
      <c r="M101" s="492"/>
      <c r="N101" s="522"/>
      <c r="O101" s="488"/>
      <c r="P101" s="488"/>
      <c r="Q101" s="489" t="s">
        <v>136</v>
      </c>
      <c r="R101" s="488"/>
      <c r="S101" s="488"/>
      <c r="T101" s="488"/>
      <c r="U101" s="490"/>
    </row>
    <row r="102" spans="1:21" ht="21" x14ac:dyDescent="0.3">
      <c r="A102" s="491" t="s">
        <v>135</v>
      </c>
      <c r="B102" s="491" t="s">
        <v>143</v>
      </c>
      <c r="C102" s="491" t="s">
        <v>157</v>
      </c>
      <c r="D102" s="491" t="s">
        <v>1029</v>
      </c>
      <c r="E102" s="491" t="s">
        <v>1030</v>
      </c>
      <c r="F102" s="491" t="s">
        <v>973</v>
      </c>
      <c r="G102" s="491" t="s">
        <v>153</v>
      </c>
      <c r="H102" s="491" t="s">
        <v>158</v>
      </c>
      <c r="I102" s="491" t="s">
        <v>985</v>
      </c>
      <c r="J102" s="491" t="s">
        <v>975</v>
      </c>
      <c r="K102" s="491" t="s">
        <v>976</v>
      </c>
      <c r="L102" s="491" t="s">
        <v>977</v>
      </c>
      <c r="M102" s="492" t="s">
        <v>824</v>
      </c>
      <c r="N102" s="523" t="s">
        <v>137</v>
      </c>
      <c r="O102" s="523" t="s">
        <v>138</v>
      </c>
      <c r="P102" s="523" t="s">
        <v>161</v>
      </c>
      <c r="Q102" s="523" t="s">
        <v>162</v>
      </c>
      <c r="R102" s="523" t="s">
        <v>163</v>
      </c>
      <c r="S102" s="523" t="s">
        <v>164</v>
      </c>
      <c r="T102" s="523" t="s">
        <v>165</v>
      </c>
      <c r="U102" s="523" t="s">
        <v>166</v>
      </c>
    </row>
    <row r="103" spans="1:21" x14ac:dyDescent="0.3">
      <c r="A103" s="505">
        <f>5</f>
        <v>5</v>
      </c>
      <c r="B103" s="495"/>
      <c r="C103" s="495"/>
      <c r="D103" s="495"/>
      <c r="E103" s="495"/>
      <c r="F103" s="496" t="str">
        <f t="shared" ref="F103" si="94">IF(B103="", "",
    IFERROR(
        IF(
            VLOOKUP(B103,HalimedaInitialMetrics,11,FALSE)="EC",
            ((PI()*(E103*0.5)*(D103*0.5)*C103)/3)/1000,
            IF(
                VLOOKUP(B103,HalimedaInitialMetrics,11,FALSE)="HE",
                ((PI()*(2/3)*(E103*0.5)*(D103*0.5)*C103))/1000,
                ""
            )
        ),
        ""
    )
)</f>
        <v/>
      </c>
      <c r="G103" s="497" t="str">
        <f t="shared" ref="G103" si="95">IF(B103=1,$G$11,IF(B103=2,$G$12,IF(B103=3,$G$13,IF(B103=4,$G$14,IF(B103=5,$G$15,IF(B103=6,$G$16,IF(B103=7,$G$17,IF(B103=8,$G$18,""))))))))</f>
        <v/>
      </c>
      <c r="H103" s="496" t="str">
        <f t="shared" ref="H103" si="96">IF(B103=1,F103*D$11,IF(B103=2,F103*D$12,IF(B103=3,F103*D$13,IF(B103=4,F103*D$14,IF(B103=5,F103*D$15,IF(B103=6,F103*D$16,IF(B103=7,F103*D$17,IF(B103=8,F103*D$18,""))))))))</f>
        <v/>
      </c>
      <c r="I103" s="498" t="str">
        <f t="shared" ref="I103" si="97">IF(B103=1,$J$11,IF(B103=2,$J$12,IF(B103=3,$J$13,IF(B103=4,$J$14,IF(B103=5,$J$15,IF(B103=6,$J$16,IF(B103=7,$J$17,IF(B103=8,$J$18,""))))))))</f>
        <v/>
      </c>
      <c r="J103" s="498" t="str">
        <f t="shared" ref="J103" si="98">IFERROR((H103*I103)*G103, "")</f>
        <v/>
      </c>
      <c r="K103" s="498" t="str">
        <f t="shared" ref="K103" si="99">IFERROR(J103*(1/$B$6),"")</f>
        <v/>
      </c>
      <c r="L103" s="498" t="str">
        <f t="shared" ref="L103" si="100">IFERROR(K103/1000,"")</f>
        <v/>
      </c>
      <c r="M103" s="492"/>
      <c r="N103" s="498" t="str">
        <f t="shared" ref="N103" si="101">IF($B103=1, $L103,"")</f>
        <v/>
      </c>
      <c r="O103" s="498" t="str">
        <f t="shared" ref="O103" si="102">IF($B103=2, $L103,"")</f>
        <v/>
      </c>
      <c r="P103" s="498" t="str">
        <f t="shared" ref="P103" si="103">IF($B103=3, $L103,"")</f>
        <v/>
      </c>
      <c r="Q103" s="498" t="str">
        <f t="shared" ref="Q103" si="104">IF($B103=4, $L103,"")</f>
        <v/>
      </c>
      <c r="R103" s="498" t="str">
        <f t="shared" ref="R103" si="105">IF($B103=5, $L103,"")</f>
        <v/>
      </c>
      <c r="S103" s="498" t="str">
        <f t="shared" ref="S103" si="106">IF($B103=6, $L103,"")</f>
        <v/>
      </c>
      <c r="T103" s="498" t="str">
        <f t="shared" ref="T103" si="107">IF($B103=7, $L103,"")</f>
        <v/>
      </c>
      <c r="U103" s="501" t="str">
        <f t="shared" ref="U103" si="108">IF($B103=8, $L103,"")</f>
        <v/>
      </c>
    </row>
    <row r="104" spans="1:21" x14ac:dyDescent="0.3">
      <c r="A104" s="505">
        <f>5</f>
        <v>5</v>
      </c>
      <c r="B104" s="495"/>
      <c r="C104" s="495"/>
      <c r="D104" s="495"/>
      <c r="E104" s="495"/>
      <c r="F104" s="496" t="str">
        <f t="shared" ref="F104:F112" si="109">IF(B104="", "",
    IFERROR(
        IF(
            VLOOKUP(B104,HalimedaInitialMetrics,11,FALSE)="EC",
            ((PI()*(E104*0.5)*(D104*0.5)*C104)/3)/1000,
            IF(
                VLOOKUP(B104,HalimedaInitialMetrics,11,FALSE)="HE",
                ((PI()*(2/3)*(E104*0.5)*(D104*0.5)*C104))/1000,
                ""
            )
        ),
        ""
    )
)</f>
        <v/>
      </c>
      <c r="G104" s="497" t="str">
        <f t="shared" ref="G104:G112" si="110">IF(B104=1,$G$11,IF(B104=2,$G$12,IF(B104=3,$G$13,IF(B104=4,$G$14,IF(B104=5,$G$15,IF(B104=6,$G$16,IF(B104=7,$G$17,IF(B104=8,$G$18,""))))))))</f>
        <v/>
      </c>
      <c r="H104" s="496" t="str">
        <f t="shared" ref="H104:H112" si="111">IF(B104=1,F104*D$11,IF(B104=2,F104*D$12,IF(B104=3,F104*D$13,IF(B104=4,F104*D$14,IF(B104=5,F104*D$15,IF(B104=6,F104*D$16,IF(B104=7,F104*D$17,IF(B104=8,F104*D$18,""))))))))</f>
        <v/>
      </c>
      <c r="I104" s="498" t="str">
        <f t="shared" ref="I104:I112" si="112">IF(B104=1,$J$11,IF(B104=2,$J$12,IF(B104=3,$J$13,IF(B104=4,$J$14,IF(B104=5,$J$15,IF(B104=6,$J$16,IF(B104=7,$J$17,IF(B104=8,$J$18,""))))))))</f>
        <v/>
      </c>
      <c r="J104" s="498" t="str">
        <f t="shared" ref="J104:J112" si="113">IFERROR((H104*I104)*G104, "")</f>
        <v/>
      </c>
      <c r="K104" s="498" t="str">
        <f t="shared" ref="K104:K112" si="114">IFERROR(J104*(1/$B$6),"")</f>
        <v/>
      </c>
      <c r="L104" s="498" t="str">
        <f t="shared" ref="L104:L112" si="115">IFERROR(K104/1000,"")</f>
        <v/>
      </c>
      <c r="M104" s="492"/>
      <c r="N104" s="498" t="str">
        <f t="shared" ref="N104:N112" si="116">IF($B104=1, $L104,"")</f>
        <v/>
      </c>
      <c r="O104" s="498" t="str">
        <f t="shared" ref="O104:O112" si="117">IF($B104=2, $L104,"")</f>
        <v/>
      </c>
      <c r="P104" s="498" t="str">
        <f t="shared" ref="P104:P112" si="118">IF($B104=3, $L104,"")</f>
        <v/>
      </c>
      <c r="Q104" s="498" t="str">
        <f t="shared" ref="Q104:Q112" si="119">IF($B104=4, $L104,"")</f>
        <v/>
      </c>
      <c r="R104" s="498" t="str">
        <f t="shared" ref="R104:R112" si="120">IF($B104=5, $L104,"")</f>
        <v/>
      </c>
      <c r="S104" s="498" t="str">
        <f t="shared" ref="S104:S112" si="121">IF($B104=6, $L104,"")</f>
        <v/>
      </c>
      <c r="T104" s="498" t="str">
        <f t="shared" ref="T104:T112" si="122">IF($B104=7, $L104,"")</f>
        <v/>
      </c>
      <c r="U104" s="501" t="str">
        <f t="shared" ref="U104:U112" si="123">IF($B104=8, $L104,"")</f>
        <v/>
      </c>
    </row>
    <row r="105" spans="1:21" x14ac:dyDescent="0.3">
      <c r="A105" s="505">
        <f>5</f>
        <v>5</v>
      </c>
      <c r="B105" s="495"/>
      <c r="C105" s="495"/>
      <c r="D105" s="495"/>
      <c r="E105" s="495"/>
      <c r="F105" s="496" t="str">
        <f t="shared" si="109"/>
        <v/>
      </c>
      <c r="G105" s="497" t="str">
        <f t="shared" si="110"/>
        <v/>
      </c>
      <c r="H105" s="496" t="str">
        <f t="shared" si="111"/>
        <v/>
      </c>
      <c r="I105" s="498" t="str">
        <f t="shared" si="112"/>
        <v/>
      </c>
      <c r="J105" s="498" t="str">
        <f t="shared" si="113"/>
        <v/>
      </c>
      <c r="K105" s="498" t="str">
        <f t="shared" si="114"/>
        <v/>
      </c>
      <c r="L105" s="498" t="str">
        <f t="shared" si="115"/>
        <v/>
      </c>
      <c r="M105" s="492"/>
      <c r="N105" s="498" t="str">
        <f t="shared" si="116"/>
        <v/>
      </c>
      <c r="O105" s="498" t="str">
        <f t="shared" si="117"/>
        <v/>
      </c>
      <c r="P105" s="498" t="str">
        <f t="shared" si="118"/>
        <v/>
      </c>
      <c r="Q105" s="498" t="str">
        <f t="shared" si="119"/>
        <v/>
      </c>
      <c r="R105" s="498" t="str">
        <f t="shared" si="120"/>
        <v/>
      </c>
      <c r="S105" s="498" t="str">
        <f t="shared" si="121"/>
        <v/>
      </c>
      <c r="T105" s="498" t="str">
        <f t="shared" si="122"/>
        <v/>
      </c>
      <c r="U105" s="501" t="str">
        <f t="shared" si="123"/>
        <v/>
      </c>
    </row>
    <row r="106" spans="1:21" x14ac:dyDescent="0.3">
      <c r="A106" s="505">
        <f>5</f>
        <v>5</v>
      </c>
      <c r="B106" s="495"/>
      <c r="C106" s="495"/>
      <c r="D106" s="495"/>
      <c r="E106" s="495"/>
      <c r="F106" s="496" t="str">
        <f t="shared" si="109"/>
        <v/>
      </c>
      <c r="G106" s="497" t="str">
        <f t="shared" si="110"/>
        <v/>
      </c>
      <c r="H106" s="496" t="str">
        <f t="shared" si="111"/>
        <v/>
      </c>
      <c r="I106" s="498" t="str">
        <f t="shared" si="112"/>
        <v/>
      </c>
      <c r="J106" s="498" t="str">
        <f t="shared" si="113"/>
        <v/>
      </c>
      <c r="K106" s="498" t="str">
        <f t="shared" si="114"/>
        <v/>
      </c>
      <c r="L106" s="498" t="str">
        <f t="shared" si="115"/>
        <v/>
      </c>
      <c r="M106" s="492"/>
      <c r="N106" s="498" t="str">
        <f t="shared" si="116"/>
        <v/>
      </c>
      <c r="O106" s="498" t="str">
        <f t="shared" si="117"/>
        <v/>
      </c>
      <c r="P106" s="498" t="str">
        <f t="shared" si="118"/>
        <v/>
      </c>
      <c r="Q106" s="498" t="str">
        <f t="shared" si="119"/>
        <v/>
      </c>
      <c r="R106" s="498" t="str">
        <f t="shared" si="120"/>
        <v/>
      </c>
      <c r="S106" s="498" t="str">
        <f t="shared" si="121"/>
        <v/>
      </c>
      <c r="T106" s="498" t="str">
        <f t="shared" si="122"/>
        <v/>
      </c>
      <c r="U106" s="501" t="str">
        <f t="shared" si="123"/>
        <v/>
      </c>
    </row>
    <row r="107" spans="1:21" x14ac:dyDescent="0.3">
      <c r="A107" s="505">
        <f>5</f>
        <v>5</v>
      </c>
      <c r="B107" s="495"/>
      <c r="C107" s="495"/>
      <c r="D107" s="495"/>
      <c r="E107" s="495"/>
      <c r="F107" s="496" t="str">
        <f t="shared" si="109"/>
        <v/>
      </c>
      <c r="G107" s="497" t="str">
        <f t="shared" si="110"/>
        <v/>
      </c>
      <c r="H107" s="496" t="str">
        <f t="shared" si="111"/>
        <v/>
      </c>
      <c r="I107" s="498" t="str">
        <f t="shared" si="112"/>
        <v/>
      </c>
      <c r="J107" s="498" t="str">
        <f t="shared" si="113"/>
        <v/>
      </c>
      <c r="K107" s="498" t="str">
        <f t="shared" si="114"/>
        <v/>
      </c>
      <c r="L107" s="498" t="str">
        <f t="shared" si="115"/>
        <v/>
      </c>
      <c r="M107" s="492"/>
      <c r="N107" s="498" t="str">
        <f t="shared" si="116"/>
        <v/>
      </c>
      <c r="O107" s="498" t="str">
        <f t="shared" si="117"/>
        <v/>
      </c>
      <c r="P107" s="498" t="str">
        <f t="shared" si="118"/>
        <v/>
      </c>
      <c r="Q107" s="498" t="str">
        <f t="shared" si="119"/>
        <v/>
      </c>
      <c r="R107" s="498" t="str">
        <f t="shared" si="120"/>
        <v/>
      </c>
      <c r="S107" s="498" t="str">
        <f t="shared" si="121"/>
        <v/>
      </c>
      <c r="T107" s="498" t="str">
        <f t="shared" si="122"/>
        <v/>
      </c>
      <c r="U107" s="501" t="str">
        <f t="shared" si="123"/>
        <v/>
      </c>
    </row>
    <row r="108" spans="1:21" x14ac:dyDescent="0.3">
      <c r="A108" s="505">
        <f>5</f>
        <v>5</v>
      </c>
      <c r="B108" s="495"/>
      <c r="C108" s="495"/>
      <c r="D108" s="495"/>
      <c r="E108" s="495"/>
      <c r="F108" s="496" t="str">
        <f t="shared" si="109"/>
        <v/>
      </c>
      <c r="G108" s="497" t="str">
        <f t="shared" si="110"/>
        <v/>
      </c>
      <c r="H108" s="496" t="str">
        <f t="shared" si="111"/>
        <v/>
      </c>
      <c r="I108" s="498" t="str">
        <f t="shared" si="112"/>
        <v/>
      </c>
      <c r="J108" s="498" t="str">
        <f t="shared" si="113"/>
        <v/>
      </c>
      <c r="K108" s="498" t="str">
        <f t="shared" si="114"/>
        <v/>
      </c>
      <c r="L108" s="498" t="str">
        <f t="shared" si="115"/>
        <v/>
      </c>
      <c r="M108" s="492"/>
      <c r="N108" s="498" t="str">
        <f t="shared" si="116"/>
        <v/>
      </c>
      <c r="O108" s="498" t="str">
        <f t="shared" si="117"/>
        <v/>
      </c>
      <c r="P108" s="498" t="str">
        <f t="shared" si="118"/>
        <v/>
      </c>
      <c r="Q108" s="498" t="str">
        <f t="shared" si="119"/>
        <v/>
      </c>
      <c r="R108" s="498" t="str">
        <f t="shared" si="120"/>
        <v/>
      </c>
      <c r="S108" s="498" t="str">
        <f t="shared" si="121"/>
        <v/>
      </c>
      <c r="T108" s="498" t="str">
        <f t="shared" si="122"/>
        <v/>
      </c>
      <c r="U108" s="501" t="str">
        <f t="shared" si="123"/>
        <v/>
      </c>
    </row>
    <row r="109" spans="1:21" x14ac:dyDescent="0.3">
      <c r="A109" s="505">
        <f>5</f>
        <v>5</v>
      </c>
      <c r="B109" s="495"/>
      <c r="C109" s="495"/>
      <c r="D109" s="495"/>
      <c r="E109" s="495"/>
      <c r="F109" s="496" t="str">
        <f t="shared" si="109"/>
        <v/>
      </c>
      <c r="G109" s="497" t="str">
        <f t="shared" si="110"/>
        <v/>
      </c>
      <c r="H109" s="496" t="str">
        <f t="shared" si="111"/>
        <v/>
      </c>
      <c r="I109" s="498" t="str">
        <f t="shared" si="112"/>
        <v/>
      </c>
      <c r="J109" s="498" t="str">
        <f t="shared" si="113"/>
        <v/>
      </c>
      <c r="K109" s="498" t="str">
        <f t="shared" si="114"/>
        <v/>
      </c>
      <c r="L109" s="498" t="str">
        <f t="shared" si="115"/>
        <v/>
      </c>
      <c r="M109" s="492"/>
      <c r="N109" s="498" t="str">
        <f t="shared" si="116"/>
        <v/>
      </c>
      <c r="O109" s="498" t="str">
        <f t="shared" si="117"/>
        <v/>
      </c>
      <c r="P109" s="498" t="str">
        <f t="shared" si="118"/>
        <v/>
      </c>
      <c r="Q109" s="498" t="str">
        <f t="shared" si="119"/>
        <v/>
      </c>
      <c r="R109" s="498" t="str">
        <f t="shared" si="120"/>
        <v/>
      </c>
      <c r="S109" s="498" t="str">
        <f t="shared" si="121"/>
        <v/>
      </c>
      <c r="T109" s="498" t="str">
        <f t="shared" si="122"/>
        <v/>
      </c>
      <c r="U109" s="501" t="str">
        <f t="shared" si="123"/>
        <v/>
      </c>
    </row>
    <row r="110" spans="1:21" x14ac:dyDescent="0.3">
      <c r="A110" s="505">
        <f>5</f>
        <v>5</v>
      </c>
      <c r="B110" s="495"/>
      <c r="C110" s="495"/>
      <c r="D110" s="495"/>
      <c r="E110" s="495"/>
      <c r="F110" s="496" t="str">
        <f t="shared" si="109"/>
        <v/>
      </c>
      <c r="G110" s="497" t="str">
        <f t="shared" si="110"/>
        <v/>
      </c>
      <c r="H110" s="496" t="str">
        <f t="shared" si="111"/>
        <v/>
      </c>
      <c r="I110" s="498" t="str">
        <f t="shared" si="112"/>
        <v/>
      </c>
      <c r="J110" s="498" t="str">
        <f t="shared" si="113"/>
        <v/>
      </c>
      <c r="K110" s="498" t="str">
        <f t="shared" si="114"/>
        <v/>
      </c>
      <c r="L110" s="498" t="str">
        <f t="shared" si="115"/>
        <v/>
      </c>
      <c r="M110" s="492"/>
      <c r="N110" s="498" t="str">
        <f t="shared" si="116"/>
        <v/>
      </c>
      <c r="O110" s="498" t="str">
        <f t="shared" si="117"/>
        <v/>
      </c>
      <c r="P110" s="498" t="str">
        <f t="shared" si="118"/>
        <v/>
      </c>
      <c r="Q110" s="498" t="str">
        <f t="shared" si="119"/>
        <v/>
      </c>
      <c r="R110" s="498" t="str">
        <f t="shared" si="120"/>
        <v/>
      </c>
      <c r="S110" s="498" t="str">
        <f t="shared" si="121"/>
        <v/>
      </c>
      <c r="T110" s="498" t="str">
        <f t="shared" si="122"/>
        <v/>
      </c>
      <c r="U110" s="501" t="str">
        <f t="shared" si="123"/>
        <v/>
      </c>
    </row>
    <row r="111" spans="1:21" x14ac:dyDescent="0.3">
      <c r="A111" s="505">
        <f>5</f>
        <v>5</v>
      </c>
      <c r="B111" s="495"/>
      <c r="C111" s="495"/>
      <c r="D111" s="495"/>
      <c r="E111" s="495"/>
      <c r="F111" s="496" t="str">
        <f t="shared" si="109"/>
        <v/>
      </c>
      <c r="G111" s="497" t="str">
        <f t="shared" si="110"/>
        <v/>
      </c>
      <c r="H111" s="496" t="str">
        <f t="shared" si="111"/>
        <v/>
      </c>
      <c r="I111" s="498" t="str">
        <f t="shared" si="112"/>
        <v/>
      </c>
      <c r="J111" s="498" t="str">
        <f t="shared" si="113"/>
        <v/>
      </c>
      <c r="K111" s="498" t="str">
        <f t="shared" si="114"/>
        <v/>
      </c>
      <c r="L111" s="498" t="str">
        <f t="shared" si="115"/>
        <v/>
      </c>
      <c r="M111" s="492"/>
      <c r="N111" s="498" t="str">
        <f t="shared" si="116"/>
        <v/>
      </c>
      <c r="O111" s="498" t="str">
        <f t="shared" si="117"/>
        <v/>
      </c>
      <c r="P111" s="498" t="str">
        <f t="shared" si="118"/>
        <v/>
      </c>
      <c r="Q111" s="498" t="str">
        <f t="shared" si="119"/>
        <v/>
      </c>
      <c r="R111" s="498" t="str">
        <f t="shared" si="120"/>
        <v/>
      </c>
      <c r="S111" s="498" t="str">
        <f t="shared" si="121"/>
        <v/>
      </c>
      <c r="T111" s="498" t="str">
        <f t="shared" si="122"/>
        <v/>
      </c>
      <c r="U111" s="501" t="str">
        <f t="shared" si="123"/>
        <v/>
      </c>
    </row>
    <row r="112" spans="1:21" x14ac:dyDescent="0.3">
      <c r="A112" s="505">
        <f>5</f>
        <v>5</v>
      </c>
      <c r="B112" s="495"/>
      <c r="C112" s="495"/>
      <c r="D112" s="495"/>
      <c r="E112" s="495"/>
      <c r="F112" s="496" t="str">
        <f t="shared" si="109"/>
        <v/>
      </c>
      <c r="G112" s="497" t="str">
        <f t="shared" si="110"/>
        <v/>
      </c>
      <c r="H112" s="496" t="str">
        <f t="shared" si="111"/>
        <v/>
      </c>
      <c r="I112" s="498" t="str">
        <f t="shared" si="112"/>
        <v/>
      </c>
      <c r="J112" s="498" t="str">
        <f t="shared" si="113"/>
        <v/>
      </c>
      <c r="K112" s="498" t="str">
        <f t="shared" si="114"/>
        <v/>
      </c>
      <c r="L112" s="498" t="str">
        <f t="shared" si="115"/>
        <v/>
      </c>
      <c r="M112" s="492"/>
      <c r="N112" s="498" t="str">
        <f t="shared" si="116"/>
        <v/>
      </c>
      <c r="O112" s="498" t="str">
        <f t="shared" si="117"/>
        <v/>
      </c>
      <c r="P112" s="498" t="str">
        <f t="shared" si="118"/>
        <v/>
      </c>
      <c r="Q112" s="498" t="str">
        <f t="shared" si="119"/>
        <v/>
      </c>
      <c r="R112" s="498" t="str">
        <f t="shared" si="120"/>
        <v/>
      </c>
      <c r="S112" s="498" t="str">
        <f t="shared" si="121"/>
        <v/>
      </c>
      <c r="T112" s="498" t="str">
        <f t="shared" si="122"/>
        <v/>
      </c>
      <c r="U112" s="501" t="str">
        <f t="shared" si="123"/>
        <v/>
      </c>
    </row>
    <row r="113" spans="1:21" x14ac:dyDescent="0.3">
      <c r="B113" s="431" t="s">
        <v>139</v>
      </c>
      <c r="C113" s="253">
        <f>COUNT(B103:B112)</f>
        <v>0</v>
      </c>
      <c r="D113" s="445"/>
      <c r="E113" s="445" t="s">
        <v>783</v>
      </c>
      <c r="F113" s="445"/>
      <c r="G113" s="445"/>
      <c r="J113" s="502" t="s">
        <v>104</v>
      </c>
      <c r="K113" s="254" t="str">
        <f>IF($A103&lt;=$B$5,SUM(K103:K112),"")</f>
        <v/>
      </c>
      <c r="L113" s="254" t="str">
        <f>IF($A103&lt;=$B$5,SUM(L103:L112),"")</f>
        <v/>
      </c>
      <c r="M113" s="492"/>
      <c r="N113" s="254">
        <f t="shared" ref="N113:U113" si="124">SUM(N103:N112)</f>
        <v>0</v>
      </c>
      <c r="O113" s="256">
        <f t="shared" si="124"/>
        <v>0</v>
      </c>
      <c r="P113" s="256">
        <f t="shared" si="124"/>
        <v>0</v>
      </c>
      <c r="Q113" s="256">
        <f t="shared" si="124"/>
        <v>0</v>
      </c>
      <c r="R113" s="256">
        <f t="shared" si="124"/>
        <v>0</v>
      </c>
      <c r="S113" s="256">
        <f t="shared" si="124"/>
        <v>0</v>
      </c>
      <c r="T113" s="256">
        <f t="shared" si="124"/>
        <v>0</v>
      </c>
      <c r="U113" s="256">
        <f t="shared" si="124"/>
        <v>0</v>
      </c>
    </row>
    <row r="114" spans="1:21" x14ac:dyDescent="0.3">
      <c r="P114" s="458"/>
      <c r="Q114" s="458"/>
      <c r="R114" s="458"/>
      <c r="S114" s="458"/>
      <c r="T114" s="458"/>
      <c r="U114" s="458"/>
    </row>
    <row r="115" spans="1:21" x14ac:dyDescent="0.3">
      <c r="P115" s="458"/>
      <c r="Q115" s="458"/>
      <c r="R115" s="458"/>
      <c r="S115" s="458"/>
      <c r="T115" s="458"/>
      <c r="U115" s="458"/>
    </row>
    <row r="116" spans="1:21" x14ac:dyDescent="0.3">
      <c r="P116" s="458"/>
      <c r="Q116" s="458"/>
      <c r="R116" s="458"/>
      <c r="S116" s="458"/>
      <c r="T116" s="458"/>
      <c r="U116" s="458"/>
    </row>
    <row r="117" spans="1:21" x14ac:dyDescent="0.3">
      <c r="P117" s="458"/>
      <c r="Q117" s="458"/>
      <c r="R117" s="458"/>
      <c r="S117" s="458"/>
      <c r="T117" s="458"/>
      <c r="U117" s="458"/>
    </row>
    <row r="118" spans="1:21" x14ac:dyDescent="0.3">
      <c r="A118" s="445"/>
      <c r="B118" s="445"/>
      <c r="C118" s="483"/>
      <c r="D118" s="484" t="s">
        <v>793</v>
      </c>
      <c r="E118" s="485"/>
      <c r="F118" s="445"/>
      <c r="G118" s="445"/>
      <c r="H118" s="445"/>
      <c r="I118" s="445"/>
      <c r="J118" s="483"/>
      <c r="K118" s="484" t="s">
        <v>803</v>
      </c>
      <c r="L118" s="485"/>
      <c r="M118" s="492"/>
      <c r="N118" s="522"/>
      <c r="O118" s="488"/>
      <c r="P118" s="488"/>
      <c r="Q118" s="489" t="s">
        <v>136</v>
      </c>
      <c r="R118" s="488"/>
      <c r="S118" s="488"/>
      <c r="T118" s="488"/>
      <c r="U118" s="490"/>
    </row>
    <row r="119" spans="1:21" ht="21" x14ac:dyDescent="0.3">
      <c r="A119" s="491" t="s">
        <v>135</v>
      </c>
      <c r="B119" s="491" t="s">
        <v>143</v>
      </c>
      <c r="C119" s="491" t="s">
        <v>157</v>
      </c>
      <c r="D119" s="491" t="s">
        <v>1029</v>
      </c>
      <c r="E119" s="491" t="s">
        <v>1030</v>
      </c>
      <c r="F119" s="491" t="s">
        <v>973</v>
      </c>
      <c r="G119" s="491" t="s">
        <v>153</v>
      </c>
      <c r="H119" s="491" t="s">
        <v>158</v>
      </c>
      <c r="I119" s="491" t="s">
        <v>985</v>
      </c>
      <c r="J119" s="491" t="s">
        <v>975</v>
      </c>
      <c r="K119" s="491" t="s">
        <v>976</v>
      </c>
      <c r="L119" s="491" t="s">
        <v>977</v>
      </c>
      <c r="M119" s="492" t="s">
        <v>824</v>
      </c>
      <c r="N119" s="523" t="s">
        <v>137</v>
      </c>
      <c r="O119" s="523" t="s">
        <v>138</v>
      </c>
      <c r="P119" s="523" t="s">
        <v>161</v>
      </c>
      <c r="Q119" s="523" t="s">
        <v>162</v>
      </c>
      <c r="R119" s="523" t="s">
        <v>163</v>
      </c>
      <c r="S119" s="523" t="s">
        <v>164</v>
      </c>
      <c r="T119" s="523" t="s">
        <v>165</v>
      </c>
      <c r="U119" s="523" t="s">
        <v>166</v>
      </c>
    </row>
    <row r="120" spans="1:21" x14ac:dyDescent="0.3">
      <c r="A120" s="505">
        <f>6</f>
        <v>6</v>
      </c>
      <c r="B120" s="495"/>
      <c r="C120" s="495"/>
      <c r="D120" s="495"/>
      <c r="E120" s="495"/>
      <c r="F120" s="496" t="str">
        <f t="shared" ref="F120" si="125">IF(B120="", "",
    IFERROR(
        IF(
            VLOOKUP(B120,HalimedaInitialMetrics,11,FALSE)="EC",
            ((PI()*(E120*0.5)*(D120*0.5)*C120)/3)/1000,
            IF(
                VLOOKUP(B120,HalimedaInitialMetrics,11,FALSE)="HE",
                ((PI()*(2/3)*(E120*0.5)*(D120*0.5)*C120))/1000,
                ""
            )
        ),
        ""
    )
)</f>
        <v/>
      </c>
      <c r="G120" s="497" t="str">
        <f t="shared" ref="G120" si="126">IF(B120=1,$G$11,IF(B120=2,$G$12,IF(B120=3,$G$13,IF(B120=4,$G$14,IF(B120=5,$G$15,IF(B120=6,$G$16,IF(B120=7,$G$17,IF(B120=8,$G$18,""))))))))</f>
        <v/>
      </c>
      <c r="H120" s="496" t="str">
        <f t="shared" ref="H120" si="127">IF(B120=1,F120*D$11,IF(B120=2,F120*D$12,IF(B120=3,F120*D$13,IF(B120=4,F120*D$14,IF(B120=5,F120*D$15,IF(B120=6,F120*D$16,IF(B120=7,F120*D$17,IF(B120=8,F120*D$18,""))))))))</f>
        <v/>
      </c>
      <c r="I120" s="498" t="str">
        <f t="shared" ref="I120" si="128">IF(B120=1,$J$11,IF(B120=2,$J$12,IF(B120=3,$J$13,IF(B120=4,$J$14,IF(B120=5,$J$15,IF(B120=6,$J$16,IF(B120=7,$J$17,IF(B120=8,$J$18,""))))))))</f>
        <v/>
      </c>
      <c r="J120" s="498" t="str">
        <f t="shared" ref="J120" si="129">IFERROR((H120*I120)*G120, "")</f>
        <v/>
      </c>
      <c r="K120" s="498" t="str">
        <f t="shared" ref="K120" si="130">IFERROR(J120*(1/$B$6),"")</f>
        <v/>
      </c>
      <c r="L120" s="498" t="str">
        <f t="shared" ref="L120" si="131">IFERROR(K120/1000,"")</f>
        <v/>
      </c>
      <c r="M120" s="492"/>
      <c r="N120" s="498" t="str">
        <f t="shared" ref="N120" si="132">IF($B120=1, $L120,"")</f>
        <v/>
      </c>
      <c r="O120" s="498" t="str">
        <f t="shared" ref="O120" si="133">IF($B120=2, $L120,"")</f>
        <v/>
      </c>
      <c r="P120" s="498" t="str">
        <f t="shared" ref="P120" si="134">IF($B120=3, $L120,"")</f>
        <v/>
      </c>
      <c r="Q120" s="498" t="str">
        <f t="shared" ref="Q120" si="135">IF($B120=4, $L120,"")</f>
        <v/>
      </c>
      <c r="R120" s="498" t="str">
        <f t="shared" ref="R120" si="136">IF($B120=5, $L120,"")</f>
        <v/>
      </c>
      <c r="S120" s="498" t="str">
        <f t="shared" ref="S120" si="137">IF($B120=6, $L120,"")</f>
        <v/>
      </c>
      <c r="T120" s="498" t="str">
        <f t="shared" ref="T120" si="138">IF($B120=7, $L120,"")</f>
        <v/>
      </c>
      <c r="U120" s="501" t="str">
        <f t="shared" ref="U120" si="139">IF($B120=8, $L120,"")</f>
        <v/>
      </c>
    </row>
    <row r="121" spans="1:21" x14ac:dyDescent="0.3">
      <c r="A121" s="505">
        <f>6</f>
        <v>6</v>
      </c>
      <c r="B121" s="495"/>
      <c r="C121" s="495"/>
      <c r="D121" s="495"/>
      <c r="E121" s="495"/>
      <c r="F121" s="496" t="str">
        <f t="shared" ref="F121:F129" si="140">IF(B121="", "",
    IFERROR(
        IF(
            VLOOKUP(B121,HalimedaInitialMetrics,11,FALSE)="EC",
            ((PI()*(E121*0.5)*(D121*0.5)*C121)/3)/1000,
            IF(
                VLOOKUP(B121,HalimedaInitialMetrics,11,FALSE)="HE",
                ((PI()*(2/3)*(E121*0.5)*(D121*0.5)*C121))/1000,
                ""
            )
        ),
        ""
    )
)</f>
        <v/>
      </c>
      <c r="G121" s="497" t="str">
        <f t="shared" ref="G121:G129" si="141">IF(B121=1,$G$11,IF(B121=2,$G$12,IF(B121=3,$G$13,IF(B121=4,$G$14,IF(B121=5,$G$15,IF(B121=6,$G$16,IF(B121=7,$G$17,IF(B121=8,$G$18,""))))))))</f>
        <v/>
      </c>
      <c r="H121" s="496" t="str">
        <f t="shared" ref="H121:H129" si="142">IF(B121=1,F121*D$11,IF(B121=2,F121*D$12,IF(B121=3,F121*D$13,IF(B121=4,F121*D$14,IF(B121=5,F121*D$15,IF(B121=6,F121*D$16,IF(B121=7,F121*D$17,IF(B121=8,F121*D$18,""))))))))</f>
        <v/>
      </c>
      <c r="I121" s="498" t="str">
        <f t="shared" ref="I121:I129" si="143">IF(B121=1,$J$11,IF(B121=2,$J$12,IF(B121=3,$J$13,IF(B121=4,$J$14,IF(B121=5,$J$15,IF(B121=6,$J$16,IF(B121=7,$J$17,IF(B121=8,$J$18,""))))))))</f>
        <v/>
      </c>
      <c r="J121" s="498" t="str">
        <f t="shared" ref="J121:J129" si="144">IFERROR((H121*I121)*G121, "")</f>
        <v/>
      </c>
      <c r="K121" s="498" t="str">
        <f t="shared" ref="K121:K129" si="145">IFERROR(J121*(1/$B$6),"")</f>
        <v/>
      </c>
      <c r="L121" s="498" t="str">
        <f t="shared" ref="L121:L129" si="146">IFERROR(K121/1000,"")</f>
        <v/>
      </c>
      <c r="M121" s="492"/>
      <c r="N121" s="498" t="str">
        <f t="shared" ref="N121:N129" si="147">IF($B121=1, $L121,"")</f>
        <v/>
      </c>
      <c r="O121" s="498" t="str">
        <f t="shared" ref="O121:O129" si="148">IF($B121=2, $L121,"")</f>
        <v/>
      </c>
      <c r="P121" s="498" t="str">
        <f t="shared" ref="P121:P129" si="149">IF($B121=3, $L121,"")</f>
        <v/>
      </c>
      <c r="Q121" s="498" t="str">
        <f t="shared" ref="Q121:Q129" si="150">IF($B121=4, $L121,"")</f>
        <v/>
      </c>
      <c r="R121" s="498" t="str">
        <f t="shared" ref="R121:R129" si="151">IF($B121=5, $L121,"")</f>
        <v/>
      </c>
      <c r="S121" s="498" t="str">
        <f t="shared" ref="S121:S129" si="152">IF($B121=6, $L121,"")</f>
        <v/>
      </c>
      <c r="T121" s="498" t="str">
        <f t="shared" ref="T121:T129" si="153">IF($B121=7, $L121,"")</f>
        <v/>
      </c>
      <c r="U121" s="501" t="str">
        <f t="shared" ref="U121:U129" si="154">IF($B121=8, $L121,"")</f>
        <v/>
      </c>
    </row>
    <row r="122" spans="1:21" x14ac:dyDescent="0.3">
      <c r="A122" s="505">
        <f>6</f>
        <v>6</v>
      </c>
      <c r="B122" s="495"/>
      <c r="C122" s="495"/>
      <c r="D122" s="495"/>
      <c r="E122" s="495"/>
      <c r="F122" s="496" t="str">
        <f t="shared" si="140"/>
        <v/>
      </c>
      <c r="G122" s="497" t="str">
        <f t="shared" si="141"/>
        <v/>
      </c>
      <c r="H122" s="496" t="str">
        <f t="shared" si="142"/>
        <v/>
      </c>
      <c r="I122" s="498" t="str">
        <f t="shared" si="143"/>
        <v/>
      </c>
      <c r="J122" s="498" t="str">
        <f t="shared" si="144"/>
        <v/>
      </c>
      <c r="K122" s="498" t="str">
        <f t="shared" si="145"/>
        <v/>
      </c>
      <c r="L122" s="498" t="str">
        <f t="shared" si="146"/>
        <v/>
      </c>
      <c r="M122" s="492"/>
      <c r="N122" s="498" t="str">
        <f t="shared" si="147"/>
        <v/>
      </c>
      <c r="O122" s="498" t="str">
        <f t="shared" si="148"/>
        <v/>
      </c>
      <c r="P122" s="498" t="str">
        <f t="shared" si="149"/>
        <v/>
      </c>
      <c r="Q122" s="498" t="str">
        <f t="shared" si="150"/>
        <v/>
      </c>
      <c r="R122" s="498" t="str">
        <f t="shared" si="151"/>
        <v/>
      </c>
      <c r="S122" s="498" t="str">
        <f t="shared" si="152"/>
        <v/>
      </c>
      <c r="T122" s="498" t="str">
        <f t="shared" si="153"/>
        <v/>
      </c>
      <c r="U122" s="501" t="str">
        <f t="shared" si="154"/>
        <v/>
      </c>
    </row>
    <row r="123" spans="1:21" x14ac:dyDescent="0.3">
      <c r="A123" s="505">
        <f>6</f>
        <v>6</v>
      </c>
      <c r="B123" s="495"/>
      <c r="C123" s="495"/>
      <c r="D123" s="495"/>
      <c r="E123" s="495"/>
      <c r="F123" s="496" t="str">
        <f t="shared" si="140"/>
        <v/>
      </c>
      <c r="G123" s="497" t="str">
        <f t="shared" si="141"/>
        <v/>
      </c>
      <c r="H123" s="496" t="str">
        <f t="shared" si="142"/>
        <v/>
      </c>
      <c r="I123" s="498" t="str">
        <f t="shared" si="143"/>
        <v/>
      </c>
      <c r="J123" s="498" t="str">
        <f t="shared" si="144"/>
        <v/>
      </c>
      <c r="K123" s="498" t="str">
        <f t="shared" si="145"/>
        <v/>
      </c>
      <c r="L123" s="498" t="str">
        <f t="shared" si="146"/>
        <v/>
      </c>
      <c r="M123" s="492"/>
      <c r="N123" s="498" t="str">
        <f t="shared" si="147"/>
        <v/>
      </c>
      <c r="O123" s="498" t="str">
        <f t="shared" si="148"/>
        <v/>
      </c>
      <c r="P123" s="498" t="str">
        <f t="shared" si="149"/>
        <v/>
      </c>
      <c r="Q123" s="498" t="str">
        <f t="shared" si="150"/>
        <v/>
      </c>
      <c r="R123" s="498" t="str">
        <f t="shared" si="151"/>
        <v/>
      </c>
      <c r="S123" s="498" t="str">
        <f t="shared" si="152"/>
        <v/>
      </c>
      <c r="T123" s="498" t="str">
        <f t="shared" si="153"/>
        <v/>
      </c>
      <c r="U123" s="501" t="str">
        <f t="shared" si="154"/>
        <v/>
      </c>
    </row>
    <row r="124" spans="1:21" x14ac:dyDescent="0.3">
      <c r="A124" s="505">
        <f>6</f>
        <v>6</v>
      </c>
      <c r="B124" s="495"/>
      <c r="C124" s="495"/>
      <c r="D124" s="495"/>
      <c r="E124" s="495"/>
      <c r="F124" s="496" t="str">
        <f t="shared" si="140"/>
        <v/>
      </c>
      <c r="G124" s="497" t="str">
        <f t="shared" si="141"/>
        <v/>
      </c>
      <c r="H124" s="496" t="str">
        <f t="shared" si="142"/>
        <v/>
      </c>
      <c r="I124" s="498" t="str">
        <f t="shared" si="143"/>
        <v/>
      </c>
      <c r="J124" s="498" t="str">
        <f t="shared" si="144"/>
        <v/>
      </c>
      <c r="K124" s="498" t="str">
        <f t="shared" si="145"/>
        <v/>
      </c>
      <c r="L124" s="498" t="str">
        <f t="shared" si="146"/>
        <v/>
      </c>
      <c r="M124" s="492"/>
      <c r="N124" s="498" t="str">
        <f t="shared" si="147"/>
        <v/>
      </c>
      <c r="O124" s="498" t="str">
        <f t="shared" si="148"/>
        <v/>
      </c>
      <c r="P124" s="498" t="str">
        <f t="shared" si="149"/>
        <v/>
      </c>
      <c r="Q124" s="498" t="str">
        <f t="shared" si="150"/>
        <v/>
      </c>
      <c r="R124" s="498" t="str">
        <f t="shared" si="151"/>
        <v/>
      </c>
      <c r="S124" s="498" t="str">
        <f t="shared" si="152"/>
        <v/>
      </c>
      <c r="T124" s="498" t="str">
        <f t="shared" si="153"/>
        <v/>
      </c>
      <c r="U124" s="501" t="str">
        <f t="shared" si="154"/>
        <v/>
      </c>
    </row>
    <row r="125" spans="1:21" x14ac:dyDescent="0.3">
      <c r="A125" s="505">
        <f>6</f>
        <v>6</v>
      </c>
      <c r="B125" s="495"/>
      <c r="C125" s="495"/>
      <c r="D125" s="495"/>
      <c r="E125" s="495"/>
      <c r="F125" s="496" t="str">
        <f t="shared" si="140"/>
        <v/>
      </c>
      <c r="G125" s="497" t="str">
        <f t="shared" si="141"/>
        <v/>
      </c>
      <c r="H125" s="496" t="str">
        <f t="shared" si="142"/>
        <v/>
      </c>
      <c r="I125" s="498" t="str">
        <f t="shared" si="143"/>
        <v/>
      </c>
      <c r="J125" s="498" t="str">
        <f t="shared" si="144"/>
        <v/>
      </c>
      <c r="K125" s="498" t="str">
        <f t="shared" si="145"/>
        <v/>
      </c>
      <c r="L125" s="498" t="str">
        <f t="shared" si="146"/>
        <v/>
      </c>
      <c r="M125" s="492"/>
      <c r="N125" s="498" t="str">
        <f t="shared" si="147"/>
        <v/>
      </c>
      <c r="O125" s="498" t="str">
        <f t="shared" si="148"/>
        <v/>
      </c>
      <c r="P125" s="498" t="str">
        <f t="shared" si="149"/>
        <v/>
      </c>
      <c r="Q125" s="498" t="str">
        <f t="shared" si="150"/>
        <v/>
      </c>
      <c r="R125" s="498" t="str">
        <f t="shared" si="151"/>
        <v/>
      </c>
      <c r="S125" s="498" t="str">
        <f t="shared" si="152"/>
        <v/>
      </c>
      <c r="T125" s="498" t="str">
        <f t="shared" si="153"/>
        <v/>
      </c>
      <c r="U125" s="501" t="str">
        <f t="shared" si="154"/>
        <v/>
      </c>
    </row>
    <row r="126" spans="1:21" x14ac:dyDescent="0.3">
      <c r="A126" s="505">
        <f>6</f>
        <v>6</v>
      </c>
      <c r="B126" s="495"/>
      <c r="C126" s="495"/>
      <c r="D126" s="495"/>
      <c r="E126" s="495"/>
      <c r="F126" s="496" t="str">
        <f t="shared" si="140"/>
        <v/>
      </c>
      <c r="G126" s="497" t="str">
        <f t="shared" si="141"/>
        <v/>
      </c>
      <c r="H126" s="496" t="str">
        <f t="shared" si="142"/>
        <v/>
      </c>
      <c r="I126" s="498" t="str">
        <f t="shared" si="143"/>
        <v/>
      </c>
      <c r="J126" s="498" t="str">
        <f t="shared" si="144"/>
        <v/>
      </c>
      <c r="K126" s="498" t="str">
        <f t="shared" si="145"/>
        <v/>
      </c>
      <c r="L126" s="498" t="str">
        <f t="shared" si="146"/>
        <v/>
      </c>
      <c r="M126" s="492"/>
      <c r="N126" s="498" t="str">
        <f t="shared" si="147"/>
        <v/>
      </c>
      <c r="O126" s="498" t="str">
        <f t="shared" si="148"/>
        <v/>
      </c>
      <c r="P126" s="498" t="str">
        <f t="shared" si="149"/>
        <v/>
      </c>
      <c r="Q126" s="498" t="str">
        <f t="shared" si="150"/>
        <v/>
      </c>
      <c r="R126" s="498" t="str">
        <f t="shared" si="151"/>
        <v/>
      </c>
      <c r="S126" s="498" t="str">
        <f t="shared" si="152"/>
        <v/>
      </c>
      <c r="T126" s="498" t="str">
        <f t="shared" si="153"/>
        <v/>
      </c>
      <c r="U126" s="501" t="str">
        <f t="shared" si="154"/>
        <v/>
      </c>
    </row>
    <row r="127" spans="1:21" x14ac:dyDescent="0.3">
      <c r="A127" s="505">
        <f>6</f>
        <v>6</v>
      </c>
      <c r="B127" s="495"/>
      <c r="C127" s="495"/>
      <c r="D127" s="495"/>
      <c r="E127" s="495"/>
      <c r="F127" s="496" t="str">
        <f t="shared" si="140"/>
        <v/>
      </c>
      <c r="G127" s="497" t="str">
        <f t="shared" si="141"/>
        <v/>
      </c>
      <c r="H127" s="496" t="str">
        <f t="shared" si="142"/>
        <v/>
      </c>
      <c r="I127" s="498" t="str">
        <f t="shared" si="143"/>
        <v/>
      </c>
      <c r="J127" s="498" t="str">
        <f t="shared" si="144"/>
        <v/>
      </c>
      <c r="K127" s="498" t="str">
        <f t="shared" si="145"/>
        <v/>
      </c>
      <c r="L127" s="498" t="str">
        <f t="shared" si="146"/>
        <v/>
      </c>
      <c r="M127" s="492"/>
      <c r="N127" s="498" t="str">
        <f t="shared" si="147"/>
        <v/>
      </c>
      <c r="O127" s="498" t="str">
        <f t="shared" si="148"/>
        <v/>
      </c>
      <c r="P127" s="498" t="str">
        <f t="shared" si="149"/>
        <v/>
      </c>
      <c r="Q127" s="498" t="str">
        <f t="shared" si="150"/>
        <v/>
      </c>
      <c r="R127" s="498" t="str">
        <f t="shared" si="151"/>
        <v/>
      </c>
      <c r="S127" s="498" t="str">
        <f t="shared" si="152"/>
        <v/>
      </c>
      <c r="T127" s="498" t="str">
        <f t="shared" si="153"/>
        <v/>
      </c>
      <c r="U127" s="501" t="str">
        <f t="shared" si="154"/>
        <v/>
      </c>
    </row>
    <row r="128" spans="1:21" x14ac:dyDescent="0.3">
      <c r="A128" s="505">
        <f>6</f>
        <v>6</v>
      </c>
      <c r="B128" s="495"/>
      <c r="C128" s="495"/>
      <c r="D128" s="495"/>
      <c r="E128" s="495"/>
      <c r="F128" s="496" t="str">
        <f t="shared" si="140"/>
        <v/>
      </c>
      <c r="G128" s="497" t="str">
        <f t="shared" si="141"/>
        <v/>
      </c>
      <c r="H128" s="496" t="str">
        <f t="shared" si="142"/>
        <v/>
      </c>
      <c r="I128" s="498" t="str">
        <f t="shared" si="143"/>
        <v/>
      </c>
      <c r="J128" s="498" t="str">
        <f t="shared" si="144"/>
        <v/>
      </c>
      <c r="K128" s="498" t="str">
        <f t="shared" si="145"/>
        <v/>
      </c>
      <c r="L128" s="498" t="str">
        <f t="shared" si="146"/>
        <v/>
      </c>
      <c r="M128" s="492"/>
      <c r="N128" s="498" t="str">
        <f t="shared" si="147"/>
        <v/>
      </c>
      <c r="O128" s="498" t="str">
        <f t="shared" si="148"/>
        <v/>
      </c>
      <c r="P128" s="498" t="str">
        <f t="shared" si="149"/>
        <v/>
      </c>
      <c r="Q128" s="498" t="str">
        <f t="shared" si="150"/>
        <v/>
      </c>
      <c r="R128" s="498" t="str">
        <f t="shared" si="151"/>
        <v/>
      </c>
      <c r="S128" s="498" t="str">
        <f t="shared" si="152"/>
        <v/>
      </c>
      <c r="T128" s="498" t="str">
        <f t="shared" si="153"/>
        <v/>
      </c>
      <c r="U128" s="501" t="str">
        <f t="shared" si="154"/>
        <v/>
      </c>
    </row>
    <row r="129" spans="1:21" x14ac:dyDescent="0.3">
      <c r="A129" s="505">
        <f>6</f>
        <v>6</v>
      </c>
      <c r="B129" s="495"/>
      <c r="C129" s="495"/>
      <c r="D129" s="495"/>
      <c r="E129" s="495"/>
      <c r="F129" s="496" t="str">
        <f t="shared" si="140"/>
        <v/>
      </c>
      <c r="G129" s="497" t="str">
        <f t="shared" si="141"/>
        <v/>
      </c>
      <c r="H129" s="496" t="str">
        <f t="shared" si="142"/>
        <v/>
      </c>
      <c r="I129" s="498" t="str">
        <f t="shared" si="143"/>
        <v/>
      </c>
      <c r="J129" s="498" t="str">
        <f t="shared" si="144"/>
        <v/>
      </c>
      <c r="K129" s="498" t="str">
        <f t="shared" si="145"/>
        <v/>
      </c>
      <c r="L129" s="498" t="str">
        <f t="shared" si="146"/>
        <v/>
      </c>
      <c r="M129" s="492"/>
      <c r="N129" s="498" t="str">
        <f t="shared" si="147"/>
        <v/>
      </c>
      <c r="O129" s="498" t="str">
        <f t="shared" si="148"/>
        <v/>
      </c>
      <c r="P129" s="498" t="str">
        <f t="shared" si="149"/>
        <v/>
      </c>
      <c r="Q129" s="498" t="str">
        <f t="shared" si="150"/>
        <v/>
      </c>
      <c r="R129" s="498" t="str">
        <f t="shared" si="151"/>
        <v/>
      </c>
      <c r="S129" s="498" t="str">
        <f t="shared" si="152"/>
        <v/>
      </c>
      <c r="T129" s="498" t="str">
        <f t="shared" si="153"/>
        <v/>
      </c>
      <c r="U129" s="501" t="str">
        <f t="shared" si="154"/>
        <v/>
      </c>
    </row>
    <row r="130" spans="1:21" x14ac:dyDescent="0.3">
      <c r="B130" s="431" t="s">
        <v>139</v>
      </c>
      <c r="C130" s="253">
        <f>COUNT(B120:B129)</f>
        <v>0</v>
      </c>
      <c r="D130" s="445"/>
      <c r="E130" s="445" t="s">
        <v>783</v>
      </c>
      <c r="F130" s="445"/>
      <c r="G130" s="445"/>
      <c r="J130" s="502" t="s">
        <v>104</v>
      </c>
      <c r="K130" s="254" t="str">
        <f>IF($A120&lt;=$B$5,SUM(K120:K129),"")</f>
        <v/>
      </c>
      <c r="L130" s="254" t="str">
        <f>IF($A120&lt;=$B$5,SUM(L120:L129),"")</f>
        <v/>
      </c>
      <c r="M130" s="492"/>
      <c r="N130" s="254">
        <f t="shared" ref="N130:U130" si="155">SUM(N120:N129)</f>
        <v>0</v>
      </c>
      <c r="O130" s="256">
        <f t="shared" si="155"/>
        <v>0</v>
      </c>
      <c r="P130" s="256">
        <f t="shared" si="155"/>
        <v>0</v>
      </c>
      <c r="Q130" s="256">
        <f t="shared" si="155"/>
        <v>0</v>
      </c>
      <c r="R130" s="256">
        <f t="shared" si="155"/>
        <v>0</v>
      </c>
      <c r="S130" s="256">
        <f t="shared" si="155"/>
        <v>0</v>
      </c>
      <c r="T130" s="256">
        <f t="shared" si="155"/>
        <v>0</v>
      </c>
      <c r="U130" s="256">
        <f t="shared" si="155"/>
        <v>0</v>
      </c>
    </row>
    <row r="131" spans="1:21" x14ac:dyDescent="0.3">
      <c r="P131" s="458"/>
      <c r="Q131" s="458"/>
      <c r="R131" s="458"/>
      <c r="S131" s="458"/>
      <c r="T131" s="458"/>
      <c r="U131" s="458"/>
    </row>
    <row r="132" spans="1:21" x14ac:dyDescent="0.3">
      <c r="P132" s="458"/>
      <c r="Q132" s="458"/>
      <c r="R132" s="458"/>
      <c r="S132" s="458"/>
      <c r="T132" s="458"/>
      <c r="U132" s="458"/>
    </row>
    <row r="133" spans="1:21" x14ac:dyDescent="0.3">
      <c r="P133" s="458"/>
      <c r="Q133" s="458"/>
      <c r="R133" s="458"/>
      <c r="S133" s="458"/>
      <c r="T133" s="458"/>
      <c r="U133" s="458"/>
    </row>
    <row r="134" spans="1:21" x14ac:dyDescent="0.3">
      <c r="P134" s="458"/>
      <c r="Q134" s="458"/>
      <c r="R134" s="458"/>
      <c r="S134" s="458"/>
      <c r="T134" s="458"/>
      <c r="U134" s="458"/>
    </row>
    <row r="135" spans="1:21" x14ac:dyDescent="0.3">
      <c r="A135" s="445"/>
      <c r="B135" s="445"/>
      <c r="C135" s="483"/>
      <c r="D135" s="484" t="s">
        <v>793</v>
      </c>
      <c r="E135" s="485"/>
      <c r="F135" s="445"/>
      <c r="G135" s="445"/>
      <c r="H135" s="445"/>
      <c r="I135" s="445"/>
      <c r="J135" s="483"/>
      <c r="K135" s="484" t="s">
        <v>803</v>
      </c>
      <c r="L135" s="485"/>
      <c r="M135" s="492"/>
      <c r="N135" s="522"/>
      <c r="O135" s="488"/>
      <c r="P135" s="488"/>
      <c r="Q135" s="489" t="s">
        <v>136</v>
      </c>
      <c r="R135" s="488"/>
      <c r="S135" s="488"/>
      <c r="T135" s="488"/>
      <c r="U135" s="490"/>
    </row>
    <row r="136" spans="1:21" ht="21" x14ac:dyDescent="0.3">
      <c r="A136" s="491" t="s">
        <v>135</v>
      </c>
      <c r="B136" s="491" t="s">
        <v>143</v>
      </c>
      <c r="C136" s="491" t="s">
        <v>157</v>
      </c>
      <c r="D136" s="491" t="s">
        <v>1029</v>
      </c>
      <c r="E136" s="491" t="s">
        <v>1030</v>
      </c>
      <c r="F136" s="491" t="s">
        <v>973</v>
      </c>
      <c r="G136" s="491" t="s">
        <v>153</v>
      </c>
      <c r="H136" s="491" t="s">
        <v>158</v>
      </c>
      <c r="I136" s="491" t="s">
        <v>985</v>
      </c>
      <c r="J136" s="491" t="s">
        <v>975</v>
      </c>
      <c r="K136" s="491" t="s">
        <v>976</v>
      </c>
      <c r="L136" s="491" t="s">
        <v>977</v>
      </c>
      <c r="M136" s="492" t="s">
        <v>824</v>
      </c>
      <c r="N136" s="523" t="s">
        <v>137</v>
      </c>
      <c r="O136" s="523" t="s">
        <v>138</v>
      </c>
      <c r="P136" s="523" t="s">
        <v>161</v>
      </c>
      <c r="Q136" s="523" t="s">
        <v>162</v>
      </c>
      <c r="R136" s="523" t="s">
        <v>163</v>
      </c>
      <c r="S136" s="523" t="s">
        <v>164</v>
      </c>
      <c r="T136" s="523" t="s">
        <v>165</v>
      </c>
      <c r="U136" s="523" t="s">
        <v>166</v>
      </c>
    </row>
    <row r="137" spans="1:21" x14ac:dyDescent="0.3">
      <c r="A137" s="505">
        <f>7</f>
        <v>7</v>
      </c>
      <c r="B137" s="495"/>
      <c r="C137" s="495"/>
      <c r="D137" s="495"/>
      <c r="E137" s="495"/>
      <c r="F137" s="496" t="str">
        <f t="shared" ref="F137" si="156">IF(B137="", "",
    IFERROR(
        IF(
            VLOOKUP(B137,HalimedaInitialMetrics,11,FALSE)="EC",
            ((PI()*(E137*0.5)*(D137*0.5)*C137)/3)/1000,
            IF(
                VLOOKUP(B137,HalimedaInitialMetrics,11,FALSE)="HE",
                ((PI()*(2/3)*(E137*0.5)*(D137*0.5)*C137))/1000,
                ""
            )
        ),
        ""
    )
)</f>
        <v/>
      </c>
      <c r="G137" s="497" t="str">
        <f t="shared" ref="G137" si="157">IF(B137=1,$G$11,IF(B137=2,$G$12,IF(B137=3,$G$13,IF(B137=4,$G$14,IF(B137=5,$G$15,IF(B137=6,$G$16,IF(B137=7,$G$17,IF(B137=8,$G$18,""))))))))</f>
        <v/>
      </c>
      <c r="H137" s="496" t="str">
        <f t="shared" ref="H137" si="158">IF(B137=1,F137*D$11,IF(B137=2,F137*D$12,IF(B137=3,F137*D$13,IF(B137=4,F137*D$14,IF(B137=5,F137*D$15,IF(B137=6,F137*D$16,IF(B137=7,F137*D$17,IF(B137=8,F137*D$18,""))))))))</f>
        <v/>
      </c>
      <c r="I137" s="498" t="str">
        <f t="shared" ref="I137" si="159">IF(B137=1,$J$11,IF(B137=2,$J$12,IF(B137=3,$J$13,IF(B137=4,$J$14,IF(B137=5,$J$15,IF(B137=6,$J$16,IF(B137=7,$J$17,IF(B137=8,$J$18,""))))))))</f>
        <v/>
      </c>
      <c r="J137" s="498" t="str">
        <f t="shared" ref="J137" si="160">IFERROR((H137*I137)*G137, "")</f>
        <v/>
      </c>
      <c r="K137" s="498" t="str">
        <f t="shared" ref="K137" si="161">IFERROR(J137*(1/$B$6),"")</f>
        <v/>
      </c>
      <c r="L137" s="498" t="str">
        <f t="shared" ref="L137" si="162">IFERROR(K137/1000,"")</f>
        <v/>
      </c>
      <c r="M137" s="492"/>
      <c r="N137" s="498" t="str">
        <f t="shared" ref="N137" si="163">IF($B137=1, $L137,"")</f>
        <v/>
      </c>
      <c r="O137" s="498" t="str">
        <f t="shared" ref="O137" si="164">IF($B137=2, $L137,"")</f>
        <v/>
      </c>
      <c r="P137" s="498" t="str">
        <f t="shared" ref="P137" si="165">IF($B137=3, $L137,"")</f>
        <v/>
      </c>
      <c r="Q137" s="498" t="str">
        <f t="shared" ref="Q137" si="166">IF($B137=4, $L137,"")</f>
        <v/>
      </c>
      <c r="R137" s="498" t="str">
        <f t="shared" ref="R137" si="167">IF($B137=5, $L137,"")</f>
        <v/>
      </c>
      <c r="S137" s="498" t="str">
        <f t="shared" ref="S137" si="168">IF($B137=6, $L137,"")</f>
        <v/>
      </c>
      <c r="T137" s="498" t="str">
        <f t="shared" ref="T137" si="169">IF($B137=7, $L137,"")</f>
        <v/>
      </c>
      <c r="U137" s="501" t="str">
        <f t="shared" ref="U137" si="170">IF($B137=8, $L137,"")</f>
        <v/>
      </c>
    </row>
    <row r="138" spans="1:21" x14ac:dyDescent="0.3">
      <c r="A138" s="505">
        <f>7</f>
        <v>7</v>
      </c>
      <c r="B138" s="495"/>
      <c r="C138" s="495"/>
      <c r="D138" s="495"/>
      <c r="E138" s="495"/>
      <c r="F138" s="496" t="str">
        <f t="shared" ref="F138:F146" si="171">IF(B138="", "",
    IFERROR(
        IF(
            VLOOKUP(B138,HalimedaInitialMetrics,11,FALSE)="EC",
            ((PI()*(E138*0.5)*(D138*0.5)*C138)/3)/1000,
            IF(
                VLOOKUP(B138,HalimedaInitialMetrics,11,FALSE)="HE",
                ((PI()*(2/3)*(E138*0.5)*(D138*0.5)*C138))/1000,
                ""
            )
        ),
        ""
    )
)</f>
        <v/>
      </c>
      <c r="G138" s="497" t="str">
        <f t="shared" ref="G138:G146" si="172">IF(B138=1,$G$11,IF(B138=2,$G$12,IF(B138=3,$G$13,IF(B138=4,$G$14,IF(B138=5,$G$15,IF(B138=6,$G$16,IF(B138=7,$G$17,IF(B138=8,$G$18,""))))))))</f>
        <v/>
      </c>
      <c r="H138" s="496" t="str">
        <f t="shared" ref="H138:H146" si="173">IF(B138=1,F138*D$11,IF(B138=2,F138*D$12,IF(B138=3,F138*D$13,IF(B138=4,F138*D$14,IF(B138=5,F138*D$15,IF(B138=6,F138*D$16,IF(B138=7,F138*D$17,IF(B138=8,F138*D$18,""))))))))</f>
        <v/>
      </c>
      <c r="I138" s="498" t="str">
        <f t="shared" ref="I138:I146" si="174">IF(B138=1,$J$11,IF(B138=2,$J$12,IF(B138=3,$J$13,IF(B138=4,$J$14,IF(B138=5,$J$15,IF(B138=6,$J$16,IF(B138=7,$J$17,IF(B138=8,$J$18,""))))))))</f>
        <v/>
      </c>
      <c r="J138" s="498" t="str">
        <f t="shared" ref="J138:J146" si="175">IFERROR((H138*I138)*G138, "")</f>
        <v/>
      </c>
      <c r="K138" s="498" t="str">
        <f t="shared" ref="K138:K146" si="176">IFERROR(J138*(1/$B$6),"")</f>
        <v/>
      </c>
      <c r="L138" s="498" t="str">
        <f t="shared" ref="L138:L146" si="177">IFERROR(K138/1000,"")</f>
        <v/>
      </c>
      <c r="M138" s="492"/>
      <c r="N138" s="498" t="str">
        <f t="shared" ref="N138:N146" si="178">IF($B138=1, $L138,"")</f>
        <v/>
      </c>
      <c r="O138" s="498" t="str">
        <f t="shared" ref="O138:O146" si="179">IF($B138=2, $L138,"")</f>
        <v/>
      </c>
      <c r="P138" s="498" t="str">
        <f t="shared" ref="P138:P146" si="180">IF($B138=3, $L138,"")</f>
        <v/>
      </c>
      <c r="Q138" s="498" t="str">
        <f t="shared" ref="Q138:Q146" si="181">IF($B138=4, $L138,"")</f>
        <v/>
      </c>
      <c r="R138" s="498" t="str">
        <f t="shared" ref="R138:R146" si="182">IF($B138=5, $L138,"")</f>
        <v/>
      </c>
      <c r="S138" s="498" t="str">
        <f t="shared" ref="S138:S146" si="183">IF($B138=6, $L138,"")</f>
        <v/>
      </c>
      <c r="T138" s="498" t="str">
        <f t="shared" ref="T138:T146" si="184">IF($B138=7, $L138,"")</f>
        <v/>
      </c>
      <c r="U138" s="501" t="str">
        <f t="shared" ref="U138:U146" si="185">IF($B138=8, $L138,"")</f>
        <v/>
      </c>
    </row>
    <row r="139" spans="1:21" x14ac:dyDescent="0.3">
      <c r="A139" s="505">
        <f>7</f>
        <v>7</v>
      </c>
      <c r="B139" s="495"/>
      <c r="C139" s="495"/>
      <c r="D139" s="495"/>
      <c r="E139" s="495"/>
      <c r="F139" s="496" t="str">
        <f t="shared" si="171"/>
        <v/>
      </c>
      <c r="G139" s="497" t="str">
        <f t="shared" si="172"/>
        <v/>
      </c>
      <c r="H139" s="496" t="str">
        <f t="shared" si="173"/>
        <v/>
      </c>
      <c r="I139" s="498" t="str">
        <f t="shared" si="174"/>
        <v/>
      </c>
      <c r="J139" s="498" t="str">
        <f t="shared" si="175"/>
        <v/>
      </c>
      <c r="K139" s="498" t="str">
        <f t="shared" si="176"/>
        <v/>
      </c>
      <c r="L139" s="498" t="str">
        <f t="shared" si="177"/>
        <v/>
      </c>
      <c r="M139" s="492"/>
      <c r="N139" s="498" t="str">
        <f t="shared" si="178"/>
        <v/>
      </c>
      <c r="O139" s="498" t="str">
        <f t="shared" si="179"/>
        <v/>
      </c>
      <c r="P139" s="498" t="str">
        <f t="shared" si="180"/>
        <v/>
      </c>
      <c r="Q139" s="498" t="str">
        <f t="shared" si="181"/>
        <v/>
      </c>
      <c r="R139" s="498" t="str">
        <f t="shared" si="182"/>
        <v/>
      </c>
      <c r="S139" s="498" t="str">
        <f t="shared" si="183"/>
        <v/>
      </c>
      <c r="T139" s="498" t="str">
        <f t="shared" si="184"/>
        <v/>
      </c>
      <c r="U139" s="501" t="str">
        <f t="shared" si="185"/>
        <v/>
      </c>
    </row>
    <row r="140" spans="1:21" x14ac:dyDescent="0.3">
      <c r="A140" s="505">
        <f>7</f>
        <v>7</v>
      </c>
      <c r="B140" s="495"/>
      <c r="C140" s="495"/>
      <c r="D140" s="495"/>
      <c r="E140" s="495"/>
      <c r="F140" s="496" t="str">
        <f t="shared" si="171"/>
        <v/>
      </c>
      <c r="G140" s="497" t="str">
        <f t="shared" si="172"/>
        <v/>
      </c>
      <c r="H140" s="496" t="str">
        <f t="shared" si="173"/>
        <v/>
      </c>
      <c r="I140" s="498" t="str">
        <f t="shared" si="174"/>
        <v/>
      </c>
      <c r="J140" s="498" t="str">
        <f t="shared" si="175"/>
        <v/>
      </c>
      <c r="K140" s="498" t="str">
        <f t="shared" si="176"/>
        <v/>
      </c>
      <c r="L140" s="498" t="str">
        <f t="shared" si="177"/>
        <v/>
      </c>
      <c r="M140" s="492"/>
      <c r="N140" s="498" t="str">
        <f t="shared" si="178"/>
        <v/>
      </c>
      <c r="O140" s="498" t="str">
        <f t="shared" si="179"/>
        <v/>
      </c>
      <c r="P140" s="498" t="str">
        <f t="shared" si="180"/>
        <v/>
      </c>
      <c r="Q140" s="498" t="str">
        <f t="shared" si="181"/>
        <v/>
      </c>
      <c r="R140" s="498" t="str">
        <f t="shared" si="182"/>
        <v/>
      </c>
      <c r="S140" s="498" t="str">
        <f t="shared" si="183"/>
        <v/>
      </c>
      <c r="T140" s="498" t="str">
        <f t="shared" si="184"/>
        <v/>
      </c>
      <c r="U140" s="501" t="str">
        <f t="shared" si="185"/>
        <v/>
      </c>
    </row>
    <row r="141" spans="1:21" x14ac:dyDescent="0.3">
      <c r="A141" s="505">
        <f>7</f>
        <v>7</v>
      </c>
      <c r="B141" s="495"/>
      <c r="C141" s="495"/>
      <c r="D141" s="495"/>
      <c r="E141" s="495"/>
      <c r="F141" s="496" t="str">
        <f t="shared" si="171"/>
        <v/>
      </c>
      <c r="G141" s="497" t="str">
        <f t="shared" si="172"/>
        <v/>
      </c>
      <c r="H141" s="496" t="str">
        <f t="shared" si="173"/>
        <v/>
      </c>
      <c r="I141" s="498" t="str">
        <f t="shared" si="174"/>
        <v/>
      </c>
      <c r="J141" s="498" t="str">
        <f t="shared" si="175"/>
        <v/>
      </c>
      <c r="K141" s="498" t="str">
        <f t="shared" si="176"/>
        <v/>
      </c>
      <c r="L141" s="498" t="str">
        <f t="shared" si="177"/>
        <v/>
      </c>
      <c r="M141" s="492"/>
      <c r="N141" s="498" t="str">
        <f t="shared" si="178"/>
        <v/>
      </c>
      <c r="O141" s="498" t="str">
        <f t="shared" si="179"/>
        <v/>
      </c>
      <c r="P141" s="498" t="str">
        <f t="shared" si="180"/>
        <v/>
      </c>
      <c r="Q141" s="498" t="str">
        <f t="shared" si="181"/>
        <v/>
      </c>
      <c r="R141" s="498" t="str">
        <f t="shared" si="182"/>
        <v/>
      </c>
      <c r="S141" s="498" t="str">
        <f t="shared" si="183"/>
        <v/>
      </c>
      <c r="T141" s="498" t="str">
        <f t="shared" si="184"/>
        <v/>
      </c>
      <c r="U141" s="501" t="str">
        <f t="shared" si="185"/>
        <v/>
      </c>
    </row>
    <row r="142" spans="1:21" x14ac:dyDescent="0.3">
      <c r="A142" s="505">
        <f>7</f>
        <v>7</v>
      </c>
      <c r="B142" s="495"/>
      <c r="C142" s="495"/>
      <c r="D142" s="495"/>
      <c r="E142" s="495"/>
      <c r="F142" s="496" t="str">
        <f t="shared" si="171"/>
        <v/>
      </c>
      <c r="G142" s="497" t="str">
        <f t="shared" si="172"/>
        <v/>
      </c>
      <c r="H142" s="496" t="str">
        <f t="shared" si="173"/>
        <v/>
      </c>
      <c r="I142" s="498" t="str">
        <f t="shared" si="174"/>
        <v/>
      </c>
      <c r="J142" s="498" t="str">
        <f t="shared" si="175"/>
        <v/>
      </c>
      <c r="K142" s="498" t="str">
        <f t="shared" si="176"/>
        <v/>
      </c>
      <c r="L142" s="498" t="str">
        <f t="shared" si="177"/>
        <v/>
      </c>
      <c r="M142" s="492"/>
      <c r="N142" s="498" t="str">
        <f t="shared" si="178"/>
        <v/>
      </c>
      <c r="O142" s="498" t="str">
        <f t="shared" si="179"/>
        <v/>
      </c>
      <c r="P142" s="498" t="str">
        <f t="shared" si="180"/>
        <v/>
      </c>
      <c r="Q142" s="498" t="str">
        <f t="shared" si="181"/>
        <v/>
      </c>
      <c r="R142" s="498" t="str">
        <f t="shared" si="182"/>
        <v/>
      </c>
      <c r="S142" s="498" t="str">
        <f t="shared" si="183"/>
        <v/>
      </c>
      <c r="T142" s="498" t="str">
        <f t="shared" si="184"/>
        <v/>
      </c>
      <c r="U142" s="501" t="str">
        <f t="shared" si="185"/>
        <v/>
      </c>
    </row>
    <row r="143" spans="1:21" x14ac:dyDescent="0.3">
      <c r="A143" s="505">
        <f>7</f>
        <v>7</v>
      </c>
      <c r="B143" s="495"/>
      <c r="C143" s="495"/>
      <c r="D143" s="495"/>
      <c r="E143" s="495"/>
      <c r="F143" s="496" t="str">
        <f t="shared" si="171"/>
        <v/>
      </c>
      <c r="G143" s="497" t="str">
        <f t="shared" si="172"/>
        <v/>
      </c>
      <c r="H143" s="496" t="str">
        <f t="shared" si="173"/>
        <v/>
      </c>
      <c r="I143" s="498" t="str">
        <f t="shared" si="174"/>
        <v/>
      </c>
      <c r="J143" s="498" t="str">
        <f t="shared" si="175"/>
        <v/>
      </c>
      <c r="K143" s="498" t="str">
        <f t="shared" si="176"/>
        <v/>
      </c>
      <c r="L143" s="498" t="str">
        <f t="shared" si="177"/>
        <v/>
      </c>
      <c r="M143" s="492"/>
      <c r="N143" s="498" t="str">
        <f t="shared" si="178"/>
        <v/>
      </c>
      <c r="O143" s="498" t="str">
        <f t="shared" si="179"/>
        <v/>
      </c>
      <c r="P143" s="498" t="str">
        <f t="shared" si="180"/>
        <v/>
      </c>
      <c r="Q143" s="498" t="str">
        <f t="shared" si="181"/>
        <v/>
      </c>
      <c r="R143" s="498" t="str">
        <f t="shared" si="182"/>
        <v/>
      </c>
      <c r="S143" s="498" t="str">
        <f t="shared" si="183"/>
        <v/>
      </c>
      <c r="T143" s="498" t="str">
        <f t="shared" si="184"/>
        <v/>
      </c>
      <c r="U143" s="501" t="str">
        <f t="shared" si="185"/>
        <v/>
      </c>
    </row>
    <row r="144" spans="1:21" x14ac:dyDescent="0.3">
      <c r="A144" s="505">
        <f>7</f>
        <v>7</v>
      </c>
      <c r="B144" s="495"/>
      <c r="C144" s="495"/>
      <c r="D144" s="495"/>
      <c r="E144" s="495"/>
      <c r="F144" s="496" t="str">
        <f t="shared" si="171"/>
        <v/>
      </c>
      <c r="G144" s="497" t="str">
        <f t="shared" si="172"/>
        <v/>
      </c>
      <c r="H144" s="496" t="str">
        <f t="shared" si="173"/>
        <v/>
      </c>
      <c r="I144" s="498" t="str">
        <f t="shared" si="174"/>
        <v/>
      </c>
      <c r="J144" s="498" t="str">
        <f t="shared" si="175"/>
        <v/>
      </c>
      <c r="K144" s="498" t="str">
        <f t="shared" si="176"/>
        <v/>
      </c>
      <c r="L144" s="498" t="str">
        <f t="shared" si="177"/>
        <v/>
      </c>
      <c r="M144" s="492"/>
      <c r="N144" s="498" t="str">
        <f t="shared" si="178"/>
        <v/>
      </c>
      <c r="O144" s="498" t="str">
        <f t="shared" si="179"/>
        <v/>
      </c>
      <c r="P144" s="498" t="str">
        <f t="shared" si="180"/>
        <v/>
      </c>
      <c r="Q144" s="498" t="str">
        <f t="shared" si="181"/>
        <v/>
      </c>
      <c r="R144" s="498" t="str">
        <f t="shared" si="182"/>
        <v/>
      </c>
      <c r="S144" s="498" t="str">
        <f t="shared" si="183"/>
        <v/>
      </c>
      <c r="T144" s="498" t="str">
        <f t="shared" si="184"/>
        <v/>
      </c>
      <c r="U144" s="501" t="str">
        <f t="shared" si="185"/>
        <v/>
      </c>
    </row>
    <row r="145" spans="1:21" x14ac:dyDescent="0.3">
      <c r="A145" s="505">
        <f>7</f>
        <v>7</v>
      </c>
      <c r="B145" s="495"/>
      <c r="C145" s="495"/>
      <c r="D145" s="495"/>
      <c r="E145" s="495"/>
      <c r="F145" s="496" t="str">
        <f t="shared" si="171"/>
        <v/>
      </c>
      <c r="G145" s="497" t="str">
        <f t="shared" si="172"/>
        <v/>
      </c>
      <c r="H145" s="496" t="str">
        <f t="shared" si="173"/>
        <v/>
      </c>
      <c r="I145" s="498" t="str">
        <f t="shared" si="174"/>
        <v/>
      </c>
      <c r="J145" s="498" t="str">
        <f t="shared" si="175"/>
        <v/>
      </c>
      <c r="K145" s="498" t="str">
        <f t="shared" si="176"/>
        <v/>
      </c>
      <c r="L145" s="498" t="str">
        <f t="shared" si="177"/>
        <v/>
      </c>
      <c r="M145" s="492"/>
      <c r="N145" s="498" t="str">
        <f t="shared" si="178"/>
        <v/>
      </c>
      <c r="O145" s="498" t="str">
        <f t="shared" si="179"/>
        <v/>
      </c>
      <c r="P145" s="498" t="str">
        <f t="shared" si="180"/>
        <v/>
      </c>
      <c r="Q145" s="498" t="str">
        <f t="shared" si="181"/>
        <v/>
      </c>
      <c r="R145" s="498" t="str">
        <f t="shared" si="182"/>
        <v/>
      </c>
      <c r="S145" s="498" t="str">
        <f t="shared" si="183"/>
        <v/>
      </c>
      <c r="T145" s="498" t="str">
        <f t="shared" si="184"/>
        <v/>
      </c>
      <c r="U145" s="501" t="str">
        <f t="shared" si="185"/>
        <v/>
      </c>
    </row>
    <row r="146" spans="1:21" x14ac:dyDescent="0.3">
      <c r="A146" s="505">
        <f>7</f>
        <v>7</v>
      </c>
      <c r="B146" s="495"/>
      <c r="C146" s="495"/>
      <c r="D146" s="495"/>
      <c r="E146" s="495"/>
      <c r="F146" s="496" t="str">
        <f t="shared" si="171"/>
        <v/>
      </c>
      <c r="G146" s="497" t="str">
        <f t="shared" si="172"/>
        <v/>
      </c>
      <c r="H146" s="496" t="str">
        <f t="shared" si="173"/>
        <v/>
      </c>
      <c r="I146" s="498" t="str">
        <f t="shared" si="174"/>
        <v/>
      </c>
      <c r="J146" s="498" t="str">
        <f t="shared" si="175"/>
        <v/>
      </c>
      <c r="K146" s="498" t="str">
        <f t="shared" si="176"/>
        <v/>
      </c>
      <c r="L146" s="498" t="str">
        <f t="shared" si="177"/>
        <v/>
      </c>
      <c r="M146" s="492"/>
      <c r="N146" s="498" t="str">
        <f t="shared" si="178"/>
        <v/>
      </c>
      <c r="O146" s="498" t="str">
        <f t="shared" si="179"/>
        <v/>
      </c>
      <c r="P146" s="498" t="str">
        <f t="shared" si="180"/>
        <v/>
      </c>
      <c r="Q146" s="498" t="str">
        <f t="shared" si="181"/>
        <v/>
      </c>
      <c r="R146" s="498" t="str">
        <f t="shared" si="182"/>
        <v/>
      </c>
      <c r="S146" s="498" t="str">
        <f t="shared" si="183"/>
        <v/>
      </c>
      <c r="T146" s="498" t="str">
        <f t="shared" si="184"/>
        <v/>
      </c>
      <c r="U146" s="501" t="str">
        <f t="shared" si="185"/>
        <v/>
      </c>
    </row>
    <row r="147" spans="1:21" x14ac:dyDescent="0.3">
      <c r="B147" s="431" t="s">
        <v>139</v>
      </c>
      <c r="C147" s="253">
        <f>COUNT(B137:B146)</f>
        <v>0</v>
      </c>
      <c r="D147" s="445"/>
      <c r="E147" s="445"/>
      <c r="F147" s="445"/>
      <c r="G147" s="445"/>
      <c r="J147" s="502" t="s">
        <v>104</v>
      </c>
      <c r="K147" s="254" t="str">
        <f>IF($A137&lt;=$B$5,SUM(K137:K146),"")</f>
        <v/>
      </c>
      <c r="L147" s="254" t="str">
        <f>IF($A137&lt;=$B$5,SUM(L137:L146),"")</f>
        <v/>
      </c>
      <c r="M147" s="492"/>
      <c r="N147" s="254">
        <f t="shared" ref="N147:U147" si="186">SUM(N137:N146)</f>
        <v>0</v>
      </c>
      <c r="O147" s="256">
        <f t="shared" si="186"/>
        <v>0</v>
      </c>
      <c r="P147" s="256">
        <f t="shared" si="186"/>
        <v>0</v>
      </c>
      <c r="Q147" s="256">
        <f t="shared" si="186"/>
        <v>0</v>
      </c>
      <c r="R147" s="256">
        <f t="shared" si="186"/>
        <v>0</v>
      </c>
      <c r="S147" s="256">
        <f t="shared" si="186"/>
        <v>0</v>
      </c>
      <c r="T147" s="256">
        <f t="shared" si="186"/>
        <v>0</v>
      </c>
      <c r="U147" s="256">
        <f t="shared" si="186"/>
        <v>0</v>
      </c>
    </row>
    <row r="148" spans="1:21" x14ac:dyDescent="0.3">
      <c r="P148" s="458"/>
      <c r="Q148" s="458"/>
      <c r="R148" s="458"/>
      <c r="S148" s="458"/>
      <c r="T148" s="458"/>
      <c r="U148" s="458"/>
    </row>
    <row r="149" spans="1:21" x14ac:dyDescent="0.3">
      <c r="P149" s="458"/>
      <c r="Q149" s="458"/>
      <c r="R149" s="458"/>
      <c r="S149" s="458"/>
      <c r="T149" s="458"/>
      <c r="U149" s="458"/>
    </row>
    <row r="150" spans="1:21" x14ac:dyDescent="0.3">
      <c r="P150" s="458"/>
      <c r="Q150" s="458"/>
      <c r="R150" s="458"/>
      <c r="S150" s="458"/>
      <c r="T150" s="458"/>
      <c r="U150" s="458"/>
    </row>
    <row r="151" spans="1:21" x14ac:dyDescent="0.3">
      <c r="P151" s="458"/>
      <c r="Q151" s="458"/>
      <c r="R151" s="458"/>
      <c r="S151" s="458"/>
      <c r="T151" s="458"/>
      <c r="U151" s="458"/>
    </row>
    <row r="152" spans="1:21" x14ac:dyDescent="0.3">
      <c r="A152" s="445"/>
      <c r="B152" s="445"/>
      <c r="C152" s="483"/>
      <c r="D152" s="484" t="s">
        <v>793</v>
      </c>
      <c r="E152" s="485"/>
      <c r="F152" s="445"/>
      <c r="G152" s="445"/>
      <c r="H152" s="445"/>
      <c r="I152" s="445"/>
      <c r="J152" s="483"/>
      <c r="K152" s="484" t="s">
        <v>803</v>
      </c>
      <c r="L152" s="485"/>
      <c r="M152" s="492"/>
      <c r="N152" s="522"/>
      <c r="O152" s="488"/>
      <c r="P152" s="488"/>
      <c r="Q152" s="489" t="s">
        <v>136</v>
      </c>
      <c r="R152" s="488"/>
      <c r="S152" s="488"/>
      <c r="T152" s="488"/>
      <c r="U152" s="490"/>
    </row>
    <row r="153" spans="1:21" ht="21" x14ac:dyDescent="0.3">
      <c r="A153" s="491" t="s">
        <v>135</v>
      </c>
      <c r="B153" s="491" t="s">
        <v>143</v>
      </c>
      <c r="C153" s="491" t="s">
        <v>157</v>
      </c>
      <c r="D153" s="491" t="s">
        <v>1029</v>
      </c>
      <c r="E153" s="491" t="s">
        <v>1030</v>
      </c>
      <c r="F153" s="491" t="s">
        <v>973</v>
      </c>
      <c r="G153" s="491" t="s">
        <v>153</v>
      </c>
      <c r="H153" s="491" t="s">
        <v>158</v>
      </c>
      <c r="I153" s="491" t="s">
        <v>985</v>
      </c>
      <c r="J153" s="491" t="s">
        <v>975</v>
      </c>
      <c r="K153" s="491" t="s">
        <v>976</v>
      </c>
      <c r="L153" s="491" t="s">
        <v>977</v>
      </c>
      <c r="M153" s="492" t="s">
        <v>824</v>
      </c>
      <c r="N153" s="523" t="s">
        <v>137</v>
      </c>
      <c r="O153" s="523" t="s">
        <v>138</v>
      </c>
      <c r="P153" s="523" t="s">
        <v>161</v>
      </c>
      <c r="Q153" s="523" t="s">
        <v>162</v>
      </c>
      <c r="R153" s="523" t="s">
        <v>163</v>
      </c>
      <c r="S153" s="523" t="s">
        <v>164</v>
      </c>
      <c r="T153" s="523" t="s">
        <v>165</v>
      </c>
      <c r="U153" s="523" t="s">
        <v>166</v>
      </c>
    </row>
    <row r="154" spans="1:21" x14ac:dyDescent="0.3">
      <c r="A154" s="505">
        <f>8</f>
        <v>8</v>
      </c>
      <c r="B154" s="495"/>
      <c r="C154" s="495"/>
      <c r="D154" s="495"/>
      <c r="E154" s="495"/>
      <c r="F154" s="496" t="str">
        <f t="shared" ref="F154:F163" si="187">IF(B154="", "",
    IFERROR(
        IF(
            VLOOKUP(B154,HalimedaInitialMetrics,11,FALSE)="EC",
            ((PI()*(E154*0.5)*(D154*0.5)*C154)/3)/1000,
            IF(
                VLOOKUP(B154,HalimedaInitialMetrics,11,FALSE)="HE",
                ((PI()*(2/3)*(E154*0.5)*(D154*0.5)*C154))/1000,
                ""
            )
        ),
        ""
    )
)</f>
        <v/>
      </c>
      <c r="G154" s="497" t="str">
        <f t="shared" ref="G154:G163" si="188">IF(B154=1,$G$11,IF(B154=2,$G$12,IF(B154=3,$G$13,IF(B154=4,$G$14,IF(B154=5,$G$15,IF(B154=6,$G$16,IF(B154=7,$G$17,IF(B154=8,$G$18,""))))))))</f>
        <v/>
      </c>
      <c r="H154" s="496" t="str">
        <f t="shared" ref="H154:H163" si="189">IF(B154=1,F154*D$11,IF(B154=2,F154*D$12,IF(B154=3,F154*D$13,IF(B154=4,F154*D$14,IF(B154=5,F154*D$15,IF(B154=6,F154*D$16,IF(B154=7,F154*D$17,IF(B154=8,F154*D$18,""))))))))</f>
        <v/>
      </c>
      <c r="I154" s="498" t="str">
        <f t="shared" ref="I154:I163" si="190">IF(B154=1,$J$11,IF(B154=2,$J$12,IF(B154=3,$J$13,IF(B154=4,$J$14,IF(B154=5,$J$15,IF(B154=6,$J$16,IF(B154=7,$J$17,IF(B154=8,$J$18,""))))))))</f>
        <v/>
      </c>
      <c r="J154" s="498" t="str">
        <f t="shared" ref="J154:J163" si="191">IFERROR((H154*I154)*G154, "")</f>
        <v/>
      </c>
      <c r="K154" s="498" t="str">
        <f t="shared" ref="K154:K163" si="192">IFERROR(J154*(1/$B$6),"")</f>
        <v/>
      </c>
      <c r="L154" s="498" t="str">
        <f t="shared" ref="L154:L163" si="193">IFERROR(K154/1000,"")</f>
        <v/>
      </c>
      <c r="M154" s="492"/>
      <c r="N154" s="498" t="str">
        <f t="shared" ref="N154:N163" si="194">IF($B154=1, $L154,"")</f>
        <v/>
      </c>
      <c r="O154" s="498" t="str">
        <f t="shared" ref="O154:O163" si="195">IF($B154=2, $L154,"")</f>
        <v/>
      </c>
      <c r="P154" s="498" t="str">
        <f t="shared" ref="P154:P163" si="196">IF($B154=3, $L154,"")</f>
        <v/>
      </c>
      <c r="Q154" s="498" t="str">
        <f t="shared" ref="Q154:Q163" si="197">IF($B154=4, $L154,"")</f>
        <v/>
      </c>
      <c r="R154" s="498" t="str">
        <f t="shared" ref="R154:R163" si="198">IF($B154=5, $L154,"")</f>
        <v/>
      </c>
      <c r="S154" s="498" t="str">
        <f t="shared" ref="S154:S163" si="199">IF($B154=6, $L154,"")</f>
        <v/>
      </c>
      <c r="T154" s="498" t="str">
        <f t="shared" ref="T154:T163" si="200">IF($B154=7, $L154,"")</f>
        <v/>
      </c>
      <c r="U154" s="501" t="str">
        <f t="shared" ref="U154:U163" si="201">IF($B154=8, $L154,"")</f>
        <v/>
      </c>
    </row>
    <row r="155" spans="1:21" x14ac:dyDescent="0.3">
      <c r="A155" s="505">
        <f>8</f>
        <v>8</v>
      </c>
      <c r="B155" s="495"/>
      <c r="C155" s="495"/>
      <c r="D155" s="495"/>
      <c r="E155" s="495"/>
      <c r="F155" s="496" t="str">
        <f t="shared" si="187"/>
        <v/>
      </c>
      <c r="G155" s="497" t="str">
        <f t="shared" si="188"/>
        <v/>
      </c>
      <c r="H155" s="496" t="str">
        <f t="shared" si="189"/>
        <v/>
      </c>
      <c r="I155" s="498" t="str">
        <f t="shared" si="190"/>
        <v/>
      </c>
      <c r="J155" s="498" t="str">
        <f t="shared" si="191"/>
        <v/>
      </c>
      <c r="K155" s="498" t="str">
        <f t="shared" si="192"/>
        <v/>
      </c>
      <c r="L155" s="498" t="str">
        <f t="shared" si="193"/>
        <v/>
      </c>
      <c r="M155" s="492"/>
      <c r="N155" s="498" t="str">
        <f t="shared" si="194"/>
        <v/>
      </c>
      <c r="O155" s="498" t="str">
        <f t="shared" si="195"/>
        <v/>
      </c>
      <c r="P155" s="498" t="str">
        <f t="shared" si="196"/>
        <v/>
      </c>
      <c r="Q155" s="498" t="str">
        <f t="shared" si="197"/>
        <v/>
      </c>
      <c r="R155" s="498" t="str">
        <f t="shared" si="198"/>
        <v/>
      </c>
      <c r="S155" s="498" t="str">
        <f t="shared" si="199"/>
        <v/>
      </c>
      <c r="T155" s="498" t="str">
        <f t="shared" si="200"/>
        <v/>
      </c>
      <c r="U155" s="501" t="str">
        <f t="shared" si="201"/>
        <v/>
      </c>
    </row>
    <row r="156" spans="1:21" x14ac:dyDescent="0.3">
      <c r="A156" s="505">
        <f>8</f>
        <v>8</v>
      </c>
      <c r="B156" s="495"/>
      <c r="C156" s="495"/>
      <c r="D156" s="495"/>
      <c r="E156" s="495"/>
      <c r="F156" s="496" t="str">
        <f t="shared" si="187"/>
        <v/>
      </c>
      <c r="G156" s="497" t="str">
        <f t="shared" si="188"/>
        <v/>
      </c>
      <c r="H156" s="496" t="str">
        <f t="shared" si="189"/>
        <v/>
      </c>
      <c r="I156" s="498" t="str">
        <f t="shared" si="190"/>
        <v/>
      </c>
      <c r="J156" s="498" t="str">
        <f t="shared" si="191"/>
        <v/>
      </c>
      <c r="K156" s="498" t="str">
        <f t="shared" si="192"/>
        <v/>
      </c>
      <c r="L156" s="498" t="str">
        <f t="shared" si="193"/>
        <v/>
      </c>
      <c r="M156" s="492"/>
      <c r="N156" s="498" t="str">
        <f t="shared" si="194"/>
        <v/>
      </c>
      <c r="O156" s="498" t="str">
        <f t="shared" si="195"/>
        <v/>
      </c>
      <c r="P156" s="498" t="str">
        <f t="shared" si="196"/>
        <v/>
      </c>
      <c r="Q156" s="498" t="str">
        <f t="shared" si="197"/>
        <v/>
      </c>
      <c r="R156" s="498" t="str">
        <f t="shared" si="198"/>
        <v/>
      </c>
      <c r="S156" s="498" t="str">
        <f t="shared" si="199"/>
        <v/>
      </c>
      <c r="T156" s="498" t="str">
        <f t="shared" si="200"/>
        <v/>
      </c>
      <c r="U156" s="501" t="str">
        <f t="shared" si="201"/>
        <v/>
      </c>
    </row>
    <row r="157" spans="1:21" x14ac:dyDescent="0.3">
      <c r="A157" s="505">
        <f>8</f>
        <v>8</v>
      </c>
      <c r="B157" s="495"/>
      <c r="C157" s="495"/>
      <c r="D157" s="495"/>
      <c r="E157" s="495"/>
      <c r="F157" s="496" t="str">
        <f t="shared" si="187"/>
        <v/>
      </c>
      <c r="G157" s="497" t="str">
        <f t="shared" si="188"/>
        <v/>
      </c>
      <c r="H157" s="496" t="str">
        <f t="shared" si="189"/>
        <v/>
      </c>
      <c r="I157" s="498" t="str">
        <f t="shared" si="190"/>
        <v/>
      </c>
      <c r="J157" s="498" t="str">
        <f t="shared" si="191"/>
        <v/>
      </c>
      <c r="K157" s="498" t="str">
        <f t="shared" si="192"/>
        <v/>
      </c>
      <c r="L157" s="498" t="str">
        <f t="shared" si="193"/>
        <v/>
      </c>
      <c r="M157" s="492"/>
      <c r="N157" s="498" t="str">
        <f t="shared" si="194"/>
        <v/>
      </c>
      <c r="O157" s="498" t="str">
        <f t="shared" si="195"/>
        <v/>
      </c>
      <c r="P157" s="498" t="str">
        <f t="shared" si="196"/>
        <v/>
      </c>
      <c r="Q157" s="498" t="str">
        <f t="shared" si="197"/>
        <v/>
      </c>
      <c r="R157" s="498" t="str">
        <f t="shared" si="198"/>
        <v/>
      </c>
      <c r="S157" s="498" t="str">
        <f t="shared" si="199"/>
        <v/>
      </c>
      <c r="T157" s="498" t="str">
        <f t="shared" si="200"/>
        <v/>
      </c>
      <c r="U157" s="501" t="str">
        <f t="shared" si="201"/>
        <v/>
      </c>
    </row>
    <row r="158" spans="1:21" x14ac:dyDescent="0.3">
      <c r="A158" s="505">
        <f>8</f>
        <v>8</v>
      </c>
      <c r="B158" s="495"/>
      <c r="C158" s="495"/>
      <c r="D158" s="495"/>
      <c r="E158" s="495"/>
      <c r="F158" s="496" t="str">
        <f t="shared" si="187"/>
        <v/>
      </c>
      <c r="G158" s="497" t="str">
        <f t="shared" si="188"/>
        <v/>
      </c>
      <c r="H158" s="496" t="str">
        <f t="shared" si="189"/>
        <v/>
      </c>
      <c r="I158" s="498" t="str">
        <f t="shared" si="190"/>
        <v/>
      </c>
      <c r="J158" s="498" t="str">
        <f t="shared" si="191"/>
        <v/>
      </c>
      <c r="K158" s="498" t="str">
        <f t="shared" si="192"/>
        <v/>
      </c>
      <c r="L158" s="498" t="str">
        <f t="shared" si="193"/>
        <v/>
      </c>
      <c r="M158" s="492"/>
      <c r="N158" s="498" t="str">
        <f t="shared" si="194"/>
        <v/>
      </c>
      <c r="O158" s="498" t="str">
        <f t="shared" si="195"/>
        <v/>
      </c>
      <c r="P158" s="498" t="str">
        <f t="shared" si="196"/>
        <v/>
      </c>
      <c r="Q158" s="498" t="str">
        <f t="shared" si="197"/>
        <v/>
      </c>
      <c r="R158" s="498" t="str">
        <f t="shared" si="198"/>
        <v/>
      </c>
      <c r="S158" s="498" t="str">
        <f t="shared" si="199"/>
        <v/>
      </c>
      <c r="T158" s="498" t="str">
        <f t="shared" si="200"/>
        <v/>
      </c>
      <c r="U158" s="501" t="str">
        <f t="shared" si="201"/>
        <v/>
      </c>
    </row>
    <row r="159" spans="1:21" x14ac:dyDescent="0.3">
      <c r="A159" s="505">
        <f>8</f>
        <v>8</v>
      </c>
      <c r="B159" s="495"/>
      <c r="C159" s="495"/>
      <c r="D159" s="495"/>
      <c r="E159" s="495"/>
      <c r="F159" s="496" t="str">
        <f t="shared" si="187"/>
        <v/>
      </c>
      <c r="G159" s="497" t="str">
        <f t="shared" si="188"/>
        <v/>
      </c>
      <c r="H159" s="496" t="str">
        <f t="shared" si="189"/>
        <v/>
      </c>
      <c r="I159" s="498" t="str">
        <f t="shared" si="190"/>
        <v/>
      </c>
      <c r="J159" s="498" t="str">
        <f t="shared" si="191"/>
        <v/>
      </c>
      <c r="K159" s="498" t="str">
        <f t="shared" si="192"/>
        <v/>
      </c>
      <c r="L159" s="498" t="str">
        <f t="shared" si="193"/>
        <v/>
      </c>
      <c r="M159" s="492"/>
      <c r="N159" s="498" t="str">
        <f t="shared" si="194"/>
        <v/>
      </c>
      <c r="O159" s="498" t="str">
        <f t="shared" si="195"/>
        <v/>
      </c>
      <c r="P159" s="498" t="str">
        <f t="shared" si="196"/>
        <v/>
      </c>
      <c r="Q159" s="498" t="str">
        <f t="shared" si="197"/>
        <v/>
      </c>
      <c r="R159" s="498" t="str">
        <f t="shared" si="198"/>
        <v/>
      </c>
      <c r="S159" s="498" t="str">
        <f t="shared" si="199"/>
        <v/>
      </c>
      <c r="T159" s="498" t="str">
        <f t="shared" si="200"/>
        <v/>
      </c>
      <c r="U159" s="501" t="str">
        <f t="shared" si="201"/>
        <v/>
      </c>
    </row>
    <row r="160" spans="1:21" x14ac:dyDescent="0.3">
      <c r="A160" s="505">
        <f>8</f>
        <v>8</v>
      </c>
      <c r="B160" s="495"/>
      <c r="C160" s="495"/>
      <c r="D160" s="495"/>
      <c r="E160" s="495"/>
      <c r="F160" s="496" t="str">
        <f t="shared" si="187"/>
        <v/>
      </c>
      <c r="G160" s="497" t="str">
        <f t="shared" si="188"/>
        <v/>
      </c>
      <c r="H160" s="496" t="str">
        <f t="shared" si="189"/>
        <v/>
      </c>
      <c r="I160" s="498" t="str">
        <f t="shared" si="190"/>
        <v/>
      </c>
      <c r="J160" s="498" t="str">
        <f t="shared" si="191"/>
        <v/>
      </c>
      <c r="K160" s="498" t="str">
        <f t="shared" si="192"/>
        <v/>
      </c>
      <c r="L160" s="498" t="str">
        <f t="shared" si="193"/>
        <v/>
      </c>
      <c r="M160" s="492"/>
      <c r="N160" s="498" t="str">
        <f t="shared" si="194"/>
        <v/>
      </c>
      <c r="O160" s="498" t="str">
        <f t="shared" si="195"/>
        <v/>
      </c>
      <c r="P160" s="498" t="str">
        <f t="shared" si="196"/>
        <v/>
      </c>
      <c r="Q160" s="498" t="str">
        <f t="shared" si="197"/>
        <v/>
      </c>
      <c r="R160" s="498" t="str">
        <f t="shared" si="198"/>
        <v/>
      </c>
      <c r="S160" s="498" t="str">
        <f t="shared" si="199"/>
        <v/>
      </c>
      <c r="T160" s="498" t="str">
        <f t="shared" si="200"/>
        <v/>
      </c>
      <c r="U160" s="501" t="str">
        <f t="shared" si="201"/>
        <v/>
      </c>
    </row>
    <row r="161" spans="1:21" x14ac:dyDescent="0.3">
      <c r="A161" s="505">
        <f>8</f>
        <v>8</v>
      </c>
      <c r="B161" s="495"/>
      <c r="C161" s="495"/>
      <c r="D161" s="495"/>
      <c r="E161" s="495"/>
      <c r="F161" s="496" t="str">
        <f t="shared" si="187"/>
        <v/>
      </c>
      <c r="G161" s="497" t="str">
        <f t="shared" si="188"/>
        <v/>
      </c>
      <c r="H161" s="496" t="str">
        <f t="shared" si="189"/>
        <v/>
      </c>
      <c r="I161" s="498" t="str">
        <f t="shared" si="190"/>
        <v/>
      </c>
      <c r="J161" s="498" t="str">
        <f t="shared" si="191"/>
        <v/>
      </c>
      <c r="K161" s="498" t="str">
        <f t="shared" si="192"/>
        <v/>
      </c>
      <c r="L161" s="498" t="str">
        <f t="shared" si="193"/>
        <v/>
      </c>
      <c r="M161" s="492"/>
      <c r="N161" s="498" t="str">
        <f t="shared" si="194"/>
        <v/>
      </c>
      <c r="O161" s="498" t="str">
        <f t="shared" si="195"/>
        <v/>
      </c>
      <c r="P161" s="498" t="str">
        <f t="shared" si="196"/>
        <v/>
      </c>
      <c r="Q161" s="498" t="str">
        <f t="shared" si="197"/>
        <v/>
      </c>
      <c r="R161" s="498" t="str">
        <f t="shared" si="198"/>
        <v/>
      </c>
      <c r="S161" s="498" t="str">
        <f t="shared" si="199"/>
        <v/>
      </c>
      <c r="T161" s="498" t="str">
        <f t="shared" si="200"/>
        <v/>
      </c>
      <c r="U161" s="501" t="str">
        <f t="shared" si="201"/>
        <v/>
      </c>
    </row>
    <row r="162" spans="1:21" x14ac:dyDescent="0.3">
      <c r="A162" s="505">
        <f>8</f>
        <v>8</v>
      </c>
      <c r="B162" s="495"/>
      <c r="C162" s="495"/>
      <c r="D162" s="495"/>
      <c r="E162" s="495"/>
      <c r="F162" s="496" t="str">
        <f t="shared" si="187"/>
        <v/>
      </c>
      <c r="G162" s="497" t="str">
        <f t="shared" si="188"/>
        <v/>
      </c>
      <c r="H162" s="496" t="str">
        <f t="shared" si="189"/>
        <v/>
      </c>
      <c r="I162" s="498" t="str">
        <f t="shared" si="190"/>
        <v/>
      </c>
      <c r="J162" s="498" t="str">
        <f t="shared" si="191"/>
        <v/>
      </c>
      <c r="K162" s="498" t="str">
        <f t="shared" si="192"/>
        <v/>
      </c>
      <c r="L162" s="498" t="str">
        <f t="shared" si="193"/>
        <v/>
      </c>
      <c r="M162" s="492"/>
      <c r="N162" s="498" t="str">
        <f t="shared" si="194"/>
        <v/>
      </c>
      <c r="O162" s="498" t="str">
        <f t="shared" si="195"/>
        <v/>
      </c>
      <c r="P162" s="498" t="str">
        <f t="shared" si="196"/>
        <v/>
      </c>
      <c r="Q162" s="498" t="str">
        <f t="shared" si="197"/>
        <v/>
      </c>
      <c r="R162" s="498" t="str">
        <f t="shared" si="198"/>
        <v/>
      </c>
      <c r="S162" s="498" t="str">
        <f t="shared" si="199"/>
        <v/>
      </c>
      <c r="T162" s="498" t="str">
        <f t="shared" si="200"/>
        <v/>
      </c>
      <c r="U162" s="501" t="str">
        <f t="shared" si="201"/>
        <v/>
      </c>
    </row>
    <row r="163" spans="1:21" x14ac:dyDescent="0.3">
      <c r="A163" s="505">
        <f>8</f>
        <v>8</v>
      </c>
      <c r="B163" s="495"/>
      <c r="C163" s="495"/>
      <c r="D163" s="495"/>
      <c r="E163" s="495"/>
      <c r="F163" s="496" t="str">
        <f t="shared" si="187"/>
        <v/>
      </c>
      <c r="G163" s="497" t="str">
        <f t="shared" si="188"/>
        <v/>
      </c>
      <c r="H163" s="496" t="str">
        <f t="shared" si="189"/>
        <v/>
      </c>
      <c r="I163" s="498" t="str">
        <f t="shared" si="190"/>
        <v/>
      </c>
      <c r="J163" s="498" t="str">
        <f t="shared" si="191"/>
        <v/>
      </c>
      <c r="K163" s="498" t="str">
        <f t="shared" si="192"/>
        <v/>
      </c>
      <c r="L163" s="498" t="str">
        <f t="shared" si="193"/>
        <v/>
      </c>
      <c r="M163" s="492"/>
      <c r="N163" s="498" t="str">
        <f t="shared" si="194"/>
        <v/>
      </c>
      <c r="O163" s="498" t="str">
        <f t="shared" si="195"/>
        <v/>
      </c>
      <c r="P163" s="498" t="str">
        <f t="shared" si="196"/>
        <v/>
      </c>
      <c r="Q163" s="498" t="str">
        <f t="shared" si="197"/>
        <v/>
      </c>
      <c r="R163" s="498" t="str">
        <f t="shared" si="198"/>
        <v/>
      </c>
      <c r="S163" s="498" t="str">
        <f t="shared" si="199"/>
        <v/>
      </c>
      <c r="T163" s="498" t="str">
        <f t="shared" si="200"/>
        <v/>
      </c>
      <c r="U163" s="501" t="str">
        <f t="shared" si="201"/>
        <v/>
      </c>
    </row>
    <row r="164" spans="1:21" x14ac:dyDescent="0.3">
      <c r="B164" s="431" t="s">
        <v>139</v>
      </c>
      <c r="C164" s="253">
        <f>COUNT(B154:B163)</f>
        <v>0</v>
      </c>
      <c r="D164" s="445"/>
      <c r="E164" s="445"/>
      <c r="F164" s="445"/>
      <c r="G164" s="445"/>
      <c r="J164" s="502" t="s">
        <v>104</v>
      </c>
      <c r="K164" s="254" t="str">
        <f>IF($A154&lt;=$B$5,SUM(K154:K163),"")</f>
        <v/>
      </c>
      <c r="L164" s="254" t="str">
        <f>IF($A154&lt;=$B$5,SUM(L154:L163),"")</f>
        <v/>
      </c>
      <c r="M164" s="492"/>
      <c r="N164" s="254">
        <f t="shared" ref="N164:U164" si="202">SUM(N154:N163)</f>
        <v>0</v>
      </c>
      <c r="O164" s="256">
        <f t="shared" si="202"/>
        <v>0</v>
      </c>
      <c r="P164" s="256">
        <f t="shared" si="202"/>
        <v>0</v>
      </c>
      <c r="Q164" s="256">
        <f t="shared" si="202"/>
        <v>0</v>
      </c>
      <c r="R164" s="256">
        <f t="shared" si="202"/>
        <v>0</v>
      </c>
      <c r="S164" s="256">
        <f t="shared" si="202"/>
        <v>0</v>
      </c>
      <c r="T164" s="256">
        <f t="shared" si="202"/>
        <v>0</v>
      </c>
      <c r="U164" s="256">
        <f t="shared" si="202"/>
        <v>0</v>
      </c>
    </row>
    <row r="165" spans="1:21" x14ac:dyDescent="0.3">
      <c r="P165" s="458"/>
      <c r="Q165" s="458"/>
      <c r="R165" s="458"/>
      <c r="S165" s="458"/>
      <c r="T165" s="458"/>
      <c r="U165" s="458"/>
    </row>
    <row r="166" spans="1:21" x14ac:dyDescent="0.3">
      <c r="P166" s="458"/>
      <c r="Q166" s="458"/>
      <c r="R166" s="458"/>
      <c r="S166" s="458"/>
      <c r="T166" s="458"/>
      <c r="U166" s="458"/>
    </row>
    <row r="167" spans="1:21" x14ac:dyDescent="0.3">
      <c r="P167" s="458"/>
      <c r="Q167" s="458"/>
      <c r="R167" s="458"/>
      <c r="S167" s="458"/>
      <c r="T167" s="458"/>
      <c r="U167" s="458"/>
    </row>
    <row r="168" spans="1:21" x14ac:dyDescent="0.3">
      <c r="P168" s="458"/>
      <c r="Q168" s="458"/>
      <c r="R168" s="458"/>
      <c r="S168" s="458"/>
      <c r="T168" s="458"/>
      <c r="U168" s="458"/>
    </row>
    <row r="169" spans="1:21" x14ac:dyDescent="0.3">
      <c r="A169" s="445"/>
      <c r="B169" s="445"/>
      <c r="C169" s="483"/>
      <c r="D169" s="484" t="s">
        <v>793</v>
      </c>
      <c r="E169" s="485"/>
      <c r="F169" s="445"/>
      <c r="G169" s="445"/>
      <c r="H169" s="445"/>
      <c r="I169" s="445"/>
      <c r="J169" s="483"/>
      <c r="K169" s="484" t="s">
        <v>803</v>
      </c>
      <c r="L169" s="485"/>
      <c r="M169" s="492"/>
      <c r="N169" s="522"/>
      <c r="O169" s="488"/>
      <c r="P169" s="488"/>
      <c r="Q169" s="489" t="s">
        <v>136</v>
      </c>
      <c r="R169" s="488"/>
      <c r="S169" s="488"/>
      <c r="T169" s="488"/>
      <c r="U169" s="490"/>
    </row>
    <row r="170" spans="1:21" ht="21" x14ac:dyDescent="0.3">
      <c r="A170" s="491" t="s">
        <v>135</v>
      </c>
      <c r="B170" s="491" t="s">
        <v>143</v>
      </c>
      <c r="C170" s="491" t="s">
        <v>157</v>
      </c>
      <c r="D170" s="491" t="s">
        <v>1029</v>
      </c>
      <c r="E170" s="491" t="s">
        <v>1030</v>
      </c>
      <c r="F170" s="491" t="s">
        <v>973</v>
      </c>
      <c r="G170" s="491" t="s">
        <v>153</v>
      </c>
      <c r="H170" s="491" t="s">
        <v>158</v>
      </c>
      <c r="I170" s="491" t="s">
        <v>985</v>
      </c>
      <c r="J170" s="491" t="s">
        <v>975</v>
      </c>
      <c r="K170" s="491" t="s">
        <v>976</v>
      </c>
      <c r="L170" s="491" t="s">
        <v>977</v>
      </c>
      <c r="M170" s="492" t="s">
        <v>824</v>
      </c>
      <c r="N170" s="523" t="s">
        <v>137</v>
      </c>
      <c r="O170" s="523" t="s">
        <v>138</v>
      </c>
      <c r="P170" s="523" t="s">
        <v>161</v>
      </c>
      <c r="Q170" s="523" t="s">
        <v>162</v>
      </c>
      <c r="R170" s="523" t="s">
        <v>163</v>
      </c>
      <c r="S170" s="523" t="s">
        <v>164</v>
      </c>
      <c r="T170" s="523" t="s">
        <v>165</v>
      </c>
      <c r="U170" s="523" t="s">
        <v>166</v>
      </c>
    </row>
    <row r="171" spans="1:21" x14ac:dyDescent="0.3">
      <c r="A171" s="505">
        <f>9</f>
        <v>9</v>
      </c>
      <c r="B171" s="495"/>
      <c r="C171" s="495"/>
      <c r="D171" s="495"/>
      <c r="E171" s="495"/>
      <c r="F171" s="496" t="str">
        <f t="shared" ref="F171" si="203">IF(B171="", "",
    IFERROR(
        IF(
            VLOOKUP(B171,HalimedaInitialMetrics,11,FALSE)="EC",
            ((PI()*(E171*0.5)*(D171*0.5)*C171)/3)/1000,
            IF(
                VLOOKUP(B171,HalimedaInitialMetrics,11,FALSE)="HE",
                ((PI()*(2/3)*(E171*0.5)*(D171*0.5)*C171))/1000,
                ""
            )
        ),
        ""
    )
)</f>
        <v/>
      </c>
      <c r="G171" s="497" t="str">
        <f t="shared" ref="G171" si="204">IF(B171=1,$G$11,IF(B171=2,$G$12,IF(B171=3,$G$13,IF(B171=4,$G$14,IF(B171=5,$G$15,IF(B171=6,$G$16,IF(B171=7,$G$17,IF(B171=8,$G$18,""))))))))</f>
        <v/>
      </c>
      <c r="H171" s="496" t="str">
        <f t="shared" ref="H171" si="205">IF(B171=1,F171*D$11,IF(B171=2,F171*D$12,IF(B171=3,F171*D$13,IF(B171=4,F171*D$14,IF(B171=5,F171*D$15,IF(B171=6,F171*D$16,IF(B171=7,F171*D$17,IF(B171=8,F171*D$18,""))))))))</f>
        <v/>
      </c>
      <c r="I171" s="498" t="str">
        <f t="shared" ref="I171" si="206">IF(B171=1,$J$11,IF(B171=2,$J$12,IF(B171=3,$J$13,IF(B171=4,$J$14,IF(B171=5,$J$15,IF(B171=6,$J$16,IF(B171=7,$J$17,IF(B171=8,$J$18,""))))))))</f>
        <v/>
      </c>
      <c r="J171" s="498" t="str">
        <f t="shared" ref="J171" si="207">IFERROR((H171*I171)*G171, "")</f>
        <v/>
      </c>
      <c r="K171" s="498" t="str">
        <f t="shared" ref="K171" si="208">IFERROR(J171*(1/$B$6),"")</f>
        <v/>
      </c>
      <c r="L171" s="498" t="str">
        <f t="shared" ref="L171" si="209">IFERROR(K171/1000,"")</f>
        <v/>
      </c>
      <c r="M171" s="492"/>
      <c r="N171" s="498" t="str">
        <f t="shared" ref="N171" si="210">IF($B171=1, $L171,"")</f>
        <v/>
      </c>
      <c r="O171" s="498" t="str">
        <f t="shared" ref="O171" si="211">IF($B171=2, $L171,"")</f>
        <v/>
      </c>
      <c r="P171" s="498" t="str">
        <f t="shared" ref="P171" si="212">IF($B171=3, $L171,"")</f>
        <v/>
      </c>
      <c r="Q171" s="498" t="str">
        <f t="shared" ref="Q171" si="213">IF($B171=4, $L171,"")</f>
        <v/>
      </c>
      <c r="R171" s="498" t="str">
        <f t="shared" ref="R171" si="214">IF($B171=5, $L171,"")</f>
        <v/>
      </c>
      <c r="S171" s="498" t="str">
        <f t="shared" ref="S171" si="215">IF($B171=6, $L171,"")</f>
        <v/>
      </c>
      <c r="T171" s="498" t="str">
        <f t="shared" ref="T171" si="216">IF($B171=7, $L171,"")</f>
        <v/>
      </c>
      <c r="U171" s="501" t="str">
        <f t="shared" ref="U171" si="217">IF($B171=8, $L171,"")</f>
        <v/>
      </c>
    </row>
    <row r="172" spans="1:21" x14ac:dyDescent="0.3">
      <c r="A172" s="505">
        <f>9</f>
        <v>9</v>
      </c>
      <c r="B172" s="495"/>
      <c r="C172" s="495"/>
      <c r="D172" s="495"/>
      <c r="E172" s="495"/>
      <c r="F172" s="496" t="str">
        <f t="shared" ref="F172:F180" si="218">IF(B172="", "",
    IFERROR(
        IF(
            VLOOKUP(B172,HalimedaInitialMetrics,11,FALSE)="EC",
            ((PI()*(E172*0.5)*(D172*0.5)*C172)/3)/1000,
            IF(
                VLOOKUP(B172,HalimedaInitialMetrics,11,FALSE)="HE",
                ((PI()*(2/3)*(E172*0.5)*(D172*0.5)*C172))/1000,
                ""
            )
        ),
        ""
    )
)</f>
        <v/>
      </c>
      <c r="G172" s="497" t="str">
        <f t="shared" ref="G172:G180" si="219">IF(B172=1,$G$11,IF(B172=2,$G$12,IF(B172=3,$G$13,IF(B172=4,$G$14,IF(B172=5,$G$15,IF(B172=6,$G$16,IF(B172=7,$G$17,IF(B172=8,$G$18,""))))))))</f>
        <v/>
      </c>
      <c r="H172" s="496" t="str">
        <f t="shared" ref="H172:H180" si="220">IF(B172=1,F172*D$11,IF(B172=2,F172*D$12,IF(B172=3,F172*D$13,IF(B172=4,F172*D$14,IF(B172=5,F172*D$15,IF(B172=6,F172*D$16,IF(B172=7,F172*D$17,IF(B172=8,F172*D$18,""))))))))</f>
        <v/>
      </c>
      <c r="I172" s="498" t="str">
        <f t="shared" ref="I172:I180" si="221">IF(B172=1,$J$11,IF(B172=2,$J$12,IF(B172=3,$J$13,IF(B172=4,$J$14,IF(B172=5,$J$15,IF(B172=6,$J$16,IF(B172=7,$J$17,IF(B172=8,$J$18,""))))))))</f>
        <v/>
      </c>
      <c r="J172" s="498" t="str">
        <f t="shared" ref="J172:J180" si="222">IFERROR((H172*I172)*G172, "")</f>
        <v/>
      </c>
      <c r="K172" s="498" t="str">
        <f t="shared" ref="K172:K180" si="223">IFERROR(J172*(1/$B$6),"")</f>
        <v/>
      </c>
      <c r="L172" s="498" t="str">
        <f t="shared" ref="L172:L180" si="224">IFERROR(K172/1000,"")</f>
        <v/>
      </c>
      <c r="M172" s="492"/>
      <c r="N172" s="498" t="str">
        <f t="shared" ref="N172:N180" si="225">IF($B172=1, $L172,"")</f>
        <v/>
      </c>
      <c r="O172" s="498" t="str">
        <f t="shared" ref="O172:O180" si="226">IF($B172=2, $L172,"")</f>
        <v/>
      </c>
      <c r="P172" s="498" t="str">
        <f t="shared" ref="P172:P180" si="227">IF($B172=3, $L172,"")</f>
        <v/>
      </c>
      <c r="Q172" s="498" t="str">
        <f t="shared" ref="Q172:Q180" si="228">IF($B172=4, $L172,"")</f>
        <v/>
      </c>
      <c r="R172" s="498" t="str">
        <f t="shared" ref="R172:R180" si="229">IF($B172=5, $L172,"")</f>
        <v/>
      </c>
      <c r="S172" s="498" t="str">
        <f t="shared" ref="S172:S180" si="230">IF($B172=6, $L172,"")</f>
        <v/>
      </c>
      <c r="T172" s="498" t="str">
        <f t="shared" ref="T172:T180" si="231">IF($B172=7, $L172,"")</f>
        <v/>
      </c>
      <c r="U172" s="501" t="str">
        <f t="shared" ref="U172:U180" si="232">IF($B172=8, $L172,"")</f>
        <v/>
      </c>
    </row>
    <row r="173" spans="1:21" x14ac:dyDescent="0.3">
      <c r="A173" s="505">
        <f>9</f>
        <v>9</v>
      </c>
      <c r="B173" s="495"/>
      <c r="C173" s="495"/>
      <c r="D173" s="495"/>
      <c r="E173" s="495"/>
      <c r="F173" s="496" t="str">
        <f t="shared" si="218"/>
        <v/>
      </c>
      <c r="G173" s="497" t="str">
        <f t="shared" si="219"/>
        <v/>
      </c>
      <c r="H173" s="496" t="str">
        <f t="shared" si="220"/>
        <v/>
      </c>
      <c r="I173" s="498" t="str">
        <f t="shared" si="221"/>
        <v/>
      </c>
      <c r="J173" s="498" t="str">
        <f t="shared" si="222"/>
        <v/>
      </c>
      <c r="K173" s="498" t="str">
        <f t="shared" si="223"/>
        <v/>
      </c>
      <c r="L173" s="498" t="str">
        <f t="shared" si="224"/>
        <v/>
      </c>
      <c r="M173" s="492"/>
      <c r="N173" s="498" t="str">
        <f t="shared" si="225"/>
        <v/>
      </c>
      <c r="O173" s="498" t="str">
        <f t="shared" si="226"/>
        <v/>
      </c>
      <c r="P173" s="498" t="str">
        <f t="shared" si="227"/>
        <v/>
      </c>
      <c r="Q173" s="498" t="str">
        <f t="shared" si="228"/>
        <v/>
      </c>
      <c r="R173" s="498" t="str">
        <f t="shared" si="229"/>
        <v/>
      </c>
      <c r="S173" s="498" t="str">
        <f t="shared" si="230"/>
        <v/>
      </c>
      <c r="T173" s="498" t="str">
        <f t="shared" si="231"/>
        <v/>
      </c>
      <c r="U173" s="501" t="str">
        <f t="shared" si="232"/>
        <v/>
      </c>
    </row>
    <row r="174" spans="1:21" x14ac:dyDescent="0.3">
      <c r="A174" s="505">
        <f>9</f>
        <v>9</v>
      </c>
      <c r="B174" s="495"/>
      <c r="C174" s="495"/>
      <c r="D174" s="495"/>
      <c r="E174" s="495"/>
      <c r="F174" s="496" t="str">
        <f t="shared" si="218"/>
        <v/>
      </c>
      <c r="G174" s="497" t="str">
        <f t="shared" si="219"/>
        <v/>
      </c>
      <c r="H174" s="496" t="str">
        <f t="shared" si="220"/>
        <v/>
      </c>
      <c r="I174" s="498" t="str">
        <f t="shared" si="221"/>
        <v/>
      </c>
      <c r="J174" s="498" t="str">
        <f t="shared" si="222"/>
        <v/>
      </c>
      <c r="K174" s="498" t="str">
        <f t="shared" si="223"/>
        <v/>
      </c>
      <c r="L174" s="498" t="str">
        <f t="shared" si="224"/>
        <v/>
      </c>
      <c r="M174" s="492"/>
      <c r="N174" s="498" t="str">
        <f t="shared" si="225"/>
        <v/>
      </c>
      <c r="O174" s="498" t="str">
        <f t="shared" si="226"/>
        <v/>
      </c>
      <c r="P174" s="498" t="str">
        <f t="shared" si="227"/>
        <v/>
      </c>
      <c r="Q174" s="498" t="str">
        <f t="shared" si="228"/>
        <v/>
      </c>
      <c r="R174" s="498" t="str">
        <f t="shared" si="229"/>
        <v/>
      </c>
      <c r="S174" s="498" t="str">
        <f t="shared" si="230"/>
        <v/>
      </c>
      <c r="T174" s="498" t="str">
        <f t="shared" si="231"/>
        <v/>
      </c>
      <c r="U174" s="501" t="str">
        <f t="shared" si="232"/>
        <v/>
      </c>
    </row>
    <row r="175" spans="1:21" x14ac:dyDescent="0.3">
      <c r="A175" s="505">
        <f>9</f>
        <v>9</v>
      </c>
      <c r="B175" s="495"/>
      <c r="C175" s="495"/>
      <c r="D175" s="495"/>
      <c r="E175" s="495"/>
      <c r="F175" s="496" t="str">
        <f t="shared" si="218"/>
        <v/>
      </c>
      <c r="G175" s="497" t="str">
        <f t="shared" si="219"/>
        <v/>
      </c>
      <c r="H175" s="496" t="str">
        <f t="shared" si="220"/>
        <v/>
      </c>
      <c r="I175" s="498" t="str">
        <f t="shared" si="221"/>
        <v/>
      </c>
      <c r="J175" s="498" t="str">
        <f t="shared" si="222"/>
        <v/>
      </c>
      <c r="K175" s="498" t="str">
        <f t="shared" si="223"/>
        <v/>
      </c>
      <c r="L175" s="498" t="str">
        <f t="shared" si="224"/>
        <v/>
      </c>
      <c r="M175" s="492"/>
      <c r="N175" s="498" t="str">
        <f t="shared" si="225"/>
        <v/>
      </c>
      <c r="O175" s="498" t="str">
        <f t="shared" si="226"/>
        <v/>
      </c>
      <c r="P175" s="498" t="str">
        <f t="shared" si="227"/>
        <v/>
      </c>
      <c r="Q175" s="498" t="str">
        <f t="shared" si="228"/>
        <v/>
      </c>
      <c r="R175" s="498" t="str">
        <f t="shared" si="229"/>
        <v/>
      </c>
      <c r="S175" s="498" t="str">
        <f t="shared" si="230"/>
        <v/>
      </c>
      <c r="T175" s="498" t="str">
        <f t="shared" si="231"/>
        <v/>
      </c>
      <c r="U175" s="501" t="str">
        <f t="shared" si="232"/>
        <v/>
      </c>
    </row>
    <row r="176" spans="1:21" x14ac:dyDescent="0.3">
      <c r="A176" s="505">
        <f>9</f>
        <v>9</v>
      </c>
      <c r="B176" s="495"/>
      <c r="C176" s="495"/>
      <c r="D176" s="495"/>
      <c r="E176" s="495"/>
      <c r="F176" s="496" t="str">
        <f t="shared" si="218"/>
        <v/>
      </c>
      <c r="G176" s="497" t="str">
        <f t="shared" si="219"/>
        <v/>
      </c>
      <c r="H176" s="496" t="str">
        <f t="shared" si="220"/>
        <v/>
      </c>
      <c r="I176" s="498" t="str">
        <f t="shared" si="221"/>
        <v/>
      </c>
      <c r="J176" s="498" t="str">
        <f t="shared" si="222"/>
        <v/>
      </c>
      <c r="K176" s="498" t="str">
        <f t="shared" si="223"/>
        <v/>
      </c>
      <c r="L176" s="498" t="str">
        <f t="shared" si="224"/>
        <v/>
      </c>
      <c r="M176" s="492"/>
      <c r="N176" s="498" t="str">
        <f t="shared" si="225"/>
        <v/>
      </c>
      <c r="O176" s="498" t="str">
        <f t="shared" si="226"/>
        <v/>
      </c>
      <c r="P176" s="498" t="str">
        <f t="shared" si="227"/>
        <v/>
      </c>
      <c r="Q176" s="498" t="str">
        <f t="shared" si="228"/>
        <v/>
      </c>
      <c r="R176" s="498" t="str">
        <f t="shared" si="229"/>
        <v/>
      </c>
      <c r="S176" s="498" t="str">
        <f t="shared" si="230"/>
        <v/>
      </c>
      <c r="T176" s="498" t="str">
        <f t="shared" si="231"/>
        <v/>
      </c>
      <c r="U176" s="501" t="str">
        <f t="shared" si="232"/>
        <v/>
      </c>
    </row>
    <row r="177" spans="1:21" x14ac:dyDescent="0.3">
      <c r="A177" s="505">
        <f>9</f>
        <v>9</v>
      </c>
      <c r="B177" s="495"/>
      <c r="C177" s="495"/>
      <c r="D177" s="495"/>
      <c r="E177" s="495"/>
      <c r="F177" s="496" t="str">
        <f t="shared" si="218"/>
        <v/>
      </c>
      <c r="G177" s="497" t="str">
        <f t="shared" si="219"/>
        <v/>
      </c>
      <c r="H177" s="496" t="str">
        <f t="shared" si="220"/>
        <v/>
      </c>
      <c r="I177" s="498" t="str">
        <f t="shared" si="221"/>
        <v/>
      </c>
      <c r="J177" s="498" t="str">
        <f t="shared" si="222"/>
        <v/>
      </c>
      <c r="K177" s="498" t="str">
        <f t="shared" si="223"/>
        <v/>
      </c>
      <c r="L177" s="498" t="str">
        <f t="shared" si="224"/>
        <v/>
      </c>
      <c r="M177" s="492"/>
      <c r="N177" s="498" t="str">
        <f t="shared" si="225"/>
        <v/>
      </c>
      <c r="O177" s="498" t="str">
        <f t="shared" si="226"/>
        <v/>
      </c>
      <c r="P177" s="498" t="str">
        <f t="shared" si="227"/>
        <v/>
      </c>
      <c r="Q177" s="498" t="str">
        <f t="shared" si="228"/>
        <v/>
      </c>
      <c r="R177" s="498" t="str">
        <f t="shared" si="229"/>
        <v/>
      </c>
      <c r="S177" s="498" t="str">
        <f t="shared" si="230"/>
        <v/>
      </c>
      <c r="T177" s="498" t="str">
        <f t="shared" si="231"/>
        <v/>
      </c>
      <c r="U177" s="501" t="str">
        <f t="shared" si="232"/>
        <v/>
      </c>
    </row>
    <row r="178" spans="1:21" x14ac:dyDescent="0.3">
      <c r="A178" s="505">
        <f>9</f>
        <v>9</v>
      </c>
      <c r="B178" s="495"/>
      <c r="C178" s="495"/>
      <c r="D178" s="495"/>
      <c r="E178" s="495"/>
      <c r="F178" s="496" t="str">
        <f t="shared" si="218"/>
        <v/>
      </c>
      <c r="G178" s="497" t="str">
        <f t="shared" si="219"/>
        <v/>
      </c>
      <c r="H178" s="496" t="str">
        <f t="shared" si="220"/>
        <v/>
      </c>
      <c r="I178" s="498" t="str">
        <f t="shared" si="221"/>
        <v/>
      </c>
      <c r="J178" s="498" t="str">
        <f t="shared" si="222"/>
        <v/>
      </c>
      <c r="K178" s="498" t="str">
        <f t="shared" si="223"/>
        <v/>
      </c>
      <c r="L178" s="498" t="str">
        <f t="shared" si="224"/>
        <v/>
      </c>
      <c r="M178" s="492"/>
      <c r="N178" s="498" t="str">
        <f t="shared" si="225"/>
        <v/>
      </c>
      <c r="O178" s="498" t="str">
        <f t="shared" si="226"/>
        <v/>
      </c>
      <c r="P178" s="498" t="str">
        <f t="shared" si="227"/>
        <v/>
      </c>
      <c r="Q178" s="498" t="str">
        <f t="shared" si="228"/>
        <v/>
      </c>
      <c r="R178" s="498" t="str">
        <f t="shared" si="229"/>
        <v/>
      </c>
      <c r="S178" s="498" t="str">
        <f t="shared" si="230"/>
        <v/>
      </c>
      <c r="T178" s="498" t="str">
        <f t="shared" si="231"/>
        <v/>
      </c>
      <c r="U178" s="501" t="str">
        <f t="shared" si="232"/>
        <v/>
      </c>
    </row>
    <row r="179" spans="1:21" x14ac:dyDescent="0.3">
      <c r="A179" s="505">
        <f>9</f>
        <v>9</v>
      </c>
      <c r="B179" s="495"/>
      <c r="C179" s="495"/>
      <c r="D179" s="495"/>
      <c r="E179" s="495"/>
      <c r="F179" s="496" t="str">
        <f t="shared" si="218"/>
        <v/>
      </c>
      <c r="G179" s="497" t="str">
        <f t="shared" si="219"/>
        <v/>
      </c>
      <c r="H179" s="496" t="str">
        <f t="shared" si="220"/>
        <v/>
      </c>
      <c r="I179" s="498" t="str">
        <f t="shared" si="221"/>
        <v/>
      </c>
      <c r="J179" s="498" t="str">
        <f t="shared" si="222"/>
        <v/>
      </c>
      <c r="K179" s="498" t="str">
        <f t="shared" si="223"/>
        <v/>
      </c>
      <c r="L179" s="498" t="str">
        <f t="shared" si="224"/>
        <v/>
      </c>
      <c r="M179" s="492"/>
      <c r="N179" s="498" t="str">
        <f t="shared" si="225"/>
        <v/>
      </c>
      <c r="O179" s="498" t="str">
        <f t="shared" si="226"/>
        <v/>
      </c>
      <c r="P179" s="498" t="str">
        <f t="shared" si="227"/>
        <v/>
      </c>
      <c r="Q179" s="498" t="str">
        <f t="shared" si="228"/>
        <v/>
      </c>
      <c r="R179" s="498" t="str">
        <f t="shared" si="229"/>
        <v/>
      </c>
      <c r="S179" s="498" t="str">
        <f t="shared" si="230"/>
        <v/>
      </c>
      <c r="T179" s="498" t="str">
        <f t="shared" si="231"/>
        <v/>
      </c>
      <c r="U179" s="501" t="str">
        <f t="shared" si="232"/>
        <v/>
      </c>
    </row>
    <row r="180" spans="1:21" x14ac:dyDescent="0.3">
      <c r="A180" s="505">
        <f>9</f>
        <v>9</v>
      </c>
      <c r="B180" s="495"/>
      <c r="C180" s="495"/>
      <c r="D180" s="495"/>
      <c r="E180" s="495"/>
      <c r="F180" s="496" t="str">
        <f t="shared" si="218"/>
        <v/>
      </c>
      <c r="G180" s="497" t="str">
        <f t="shared" si="219"/>
        <v/>
      </c>
      <c r="H180" s="496" t="str">
        <f t="shared" si="220"/>
        <v/>
      </c>
      <c r="I180" s="498" t="str">
        <f t="shared" si="221"/>
        <v/>
      </c>
      <c r="J180" s="498" t="str">
        <f t="shared" si="222"/>
        <v/>
      </c>
      <c r="K180" s="498" t="str">
        <f t="shared" si="223"/>
        <v/>
      </c>
      <c r="L180" s="498" t="str">
        <f t="shared" si="224"/>
        <v/>
      </c>
      <c r="M180" s="492"/>
      <c r="N180" s="498" t="str">
        <f t="shared" si="225"/>
        <v/>
      </c>
      <c r="O180" s="498" t="str">
        <f t="shared" si="226"/>
        <v/>
      </c>
      <c r="P180" s="498" t="str">
        <f t="shared" si="227"/>
        <v/>
      </c>
      <c r="Q180" s="498" t="str">
        <f t="shared" si="228"/>
        <v/>
      </c>
      <c r="R180" s="498" t="str">
        <f t="shared" si="229"/>
        <v/>
      </c>
      <c r="S180" s="498" t="str">
        <f t="shared" si="230"/>
        <v/>
      </c>
      <c r="T180" s="498" t="str">
        <f t="shared" si="231"/>
        <v/>
      </c>
      <c r="U180" s="501" t="str">
        <f t="shared" si="232"/>
        <v/>
      </c>
    </row>
    <row r="181" spans="1:21" x14ac:dyDescent="0.3">
      <c r="B181" s="431" t="s">
        <v>139</v>
      </c>
      <c r="C181" s="253">
        <f>COUNT(B171:B180)</f>
        <v>0</v>
      </c>
      <c r="D181" s="445"/>
      <c r="E181" s="445"/>
      <c r="F181" s="445"/>
      <c r="G181" s="445"/>
      <c r="J181" s="502" t="s">
        <v>104</v>
      </c>
      <c r="K181" s="254" t="str">
        <f>IF(A171&lt;=$B$5,SUM(K171:K180),"")</f>
        <v/>
      </c>
      <c r="L181" s="254" t="str">
        <f>IF(A171&lt;=$B$5,SUM(L171:L180),"")</f>
        <v/>
      </c>
      <c r="M181" s="492"/>
      <c r="N181" s="503">
        <f t="shared" ref="N181:U181" si="233">SUM(N171:N171)</f>
        <v>0</v>
      </c>
      <c r="O181" s="503">
        <f t="shared" si="233"/>
        <v>0</v>
      </c>
      <c r="P181" s="503">
        <f t="shared" si="233"/>
        <v>0</v>
      </c>
      <c r="Q181" s="503">
        <f t="shared" si="233"/>
        <v>0</v>
      </c>
      <c r="R181" s="503">
        <f t="shared" si="233"/>
        <v>0</v>
      </c>
      <c r="S181" s="503">
        <f t="shared" si="233"/>
        <v>0</v>
      </c>
      <c r="T181" s="503">
        <f t="shared" si="233"/>
        <v>0</v>
      </c>
      <c r="U181" s="503">
        <f t="shared" si="233"/>
        <v>0</v>
      </c>
    </row>
    <row r="182" spans="1:21" x14ac:dyDescent="0.3">
      <c r="P182" s="458"/>
      <c r="Q182" s="458"/>
      <c r="R182" s="458"/>
      <c r="S182" s="458"/>
      <c r="T182" s="458"/>
      <c r="U182" s="458"/>
    </row>
    <row r="183" spans="1:21" x14ac:dyDescent="0.3">
      <c r="P183" s="458"/>
      <c r="Q183" s="458"/>
      <c r="R183" s="458"/>
      <c r="S183" s="458"/>
      <c r="T183" s="458"/>
      <c r="U183" s="458"/>
    </row>
    <row r="184" spans="1:21" x14ac:dyDescent="0.3">
      <c r="P184" s="458"/>
      <c r="Q184" s="458"/>
      <c r="R184" s="458"/>
      <c r="S184" s="458"/>
      <c r="T184" s="458"/>
      <c r="U184" s="458"/>
    </row>
    <row r="185" spans="1:21" x14ac:dyDescent="0.3">
      <c r="P185" s="458"/>
      <c r="Q185" s="458"/>
      <c r="R185" s="458"/>
      <c r="S185" s="458"/>
      <c r="T185" s="458"/>
      <c r="U185" s="458"/>
    </row>
    <row r="186" spans="1:21" x14ac:dyDescent="0.3">
      <c r="A186" s="445"/>
      <c r="B186" s="445"/>
      <c r="C186" s="483"/>
      <c r="D186" s="484" t="s">
        <v>793</v>
      </c>
      <c r="E186" s="485"/>
      <c r="F186" s="445"/>
      <c r="G186" s="445"/>
      <c r="H186" s="445"/>
      <c r="I186" s="445"/>
      <c r="J186" s="483"/>
      <c r="K186" s="484" t="s">
        <v>803</v>
      </c>
      <c r="L186" s="485"/>
      <c r="M186" s="492"/>
      <c r="N186" s="522"/>
      <c r="O186" s="488"/>
      <c r="P186" s="488"/>
      <c r="Q186" s="489" t="s">
        <v>136</v>
      </c>
      <c r="R186" s="488"/>
      <c r="S186" s="488"/>
      <c r="T186" s="488"/>
      <c r="U186" s="490"/>
    </row>
    <row r="187" spans="1:21" ht="21" x14ac:dyDescent="0.3">
      <c r="A187" s="491" t="s">
        <v>135</v>
      </c>
      <c r="B187" s="491" t="s">
        <v>143</v>
      </c>
      <c r="C187" s="491" t="s">
        <v>157</v>
      </c>
      <c r="D187" s="491" t="s">
        <v>1029</v>
      </c>
      <c r="E187" s="491" t="s">
        <v>1030</v>
      </c>
      <c r="F187" s="491" t="s">
        <v>973</v>
      </c>
      <c r="G187" s="491" t="s">
        <v>153</v>
      </c>
      <c r="H187" s="491" t="s">
        <v>158</v>
      </c>
      <c r="I187" s="491" t="s">
        <v>985</v>
      </c>
      <c r="J187" s="491" t="s">
        <v>975</v>
      </c>
      <c r="K187" s="491" t="s">
        <v>976</v>
      </c>
      <c r="L187" s="491" t="s">
        <v>977</v>
      </c>
      <c r="M187" s="492" t="s">
        <v>824</v>
      </c>
      <c r="N187" s="523" t="s">
        <v>137</v>
      </c>
      <c r="O187" s="523" t="s">
        <v>138</v>
      </c>
      <c r="P187" s="523" t="s">
        <v>161</v>
      </c>
      <c r="Q187" s="523" t="s">
        <v>162</v>
      </c>
      <c r="R187" s="523" t="s">
        <v>163</v>
      </c>
      <c r="S187" s="523" t="s">
        <v>164</v>
      </c>
      <c r="T187" s="523" t="s">
        <v>165</v>
      </c>
      <c r="U187" s="523" t="s">
        <v>166</v>
      </c>
    </row>
    <row r="188" spans="1:21" x14ac:dyDescent="0.3">
      <c r="A188" s="505">
        <f>10</f>
        <v>10</v>
      </c>
      <c r="B188" s="495"/>
      <c r="C188" s="495"/>
      <c r="D188" s="495"/>
      <c r="E188" s="495"/>
      <c r="F188" s="496" t="str">
        <f t="shared" ref="F188:F197" si="234">IF(B188="", "",
    IFERROR(
        IF(
            VLOOKUP(B188,HalimedaInitialMetrics,11,FALSE)="EC",
            ((PI()*(E188*0.5)*(D188*0.5)*C188)/3)/1000,
            IF(
                VLOOKUP(B188,HalimedaInitialMetrics,11,FALSE)="HE",
                ((PI()*(2/3)*(E188*0.5)*(D188*0.5)*C188))/1000,
                ""
            )
        ),
        ""
    )
)</f>
        <v/>
      </c>
      <c r="G188" s="497" t="str">
        <f t="shared" ref="G188:G197" si="235">IF(B188=1,$G$11,IF(B188=2,$G$12,IF(B188=3,$G$13,IF(B188=4,$G$14,IF(B188=5,$G$15,IF(B188=6,$G$16,IF(B188=7,$G$17,IF(B188=8,$G$18,""))))))))</f>
        <v/>
      </c>
      <c r="H188" s="496" t="str">
        <f t="shared" ref="H188:H197" si="236">IF(B188=1,F188*D$11,IF(B188=2,F188*D$12,IF(B188=3,F188*D$13,IF(B188=4,F188*D$14,IF(B188=5,F188*D$15,IF(B188=6,F188*D$16,IF(B188=7,F188*D$17,IF(B188=8,F188*D$18,""))))))))</f>
        <v/>
      </c>
      <c r="I188" s="498" t="str">
        <f t="shared" ref="I188:I197" si="237">IF(B188=1,$J$11,IF(B188=2,$J$12,IF(B188=3,$J$13,IF(B188=4,$J$14,IF(B188=5,$J$15,IF(B188=6,$J$16,IF(B188=7,$J$17,IF(B188=8,$J$18,""))))))))</f>
        <v/>
      </c>
      <c r="J188" s="498" t="str">
        <f t="shared" ref="J188:J197" si="238">IFERROR((H188*I188)*G188, "")</f>
        <v/>
      </c>
      <c r="K188" s="498" t="str">
        <f t="shared" ref="K188:K197" si="239">IFERROR(J188*(1/$B$6),"")</f>
        <v/>
      </c>
      <c r="L188" s="498" t="str">
        <f t="shared" ref="L188:L197" si="240">IFERROR(K188/1000,"")</f>
        <v/>
      </c>
      <c r="M188" s="492"/>
      <c r="N188" s="498" t="str">
        <f t="shared" ref="N188:N197" si="241">IF($B188=1, $L188,"")</f>
        <v/>
      </c>
      <c r="O188" s="498" t="str">
        <f t="shared" ref="O188:O197" si="242">IF($B188=2, $L188,"")</f>
        <v/>
      </c>
      <c r="P188" s="498" t="str">
        <f t="shared" ref="P188:P197" si="243">IF($B188=3, $L188,"")</f>
        <v/>
      </c>
      <c r="Q188" s="498" t="str">
        <f t="shared" ref="Q188:Q197" si="244">IF($B188=4, $L188,"")</f>
        <v/>
      </c>
      <c r="R188" s="498" t="str">
        <f t="shared" ref="R188:R197" si="245">IF($B188=5, $L188,"")</f>
        <v/>
      </c>
      <c r="S188" s="498" t="str">
        <f t="shared" ref="S188:S197" si="246">IF($B188=6, $L188,"")</f>
        <v/>
      </c>
      <c r="T188" s="498" t="str">
        <f t="shared" ref="T188:T197" si="247">IF($B188=7, $L188,"")</f>
        <v/>
      </c>
      <c r="U188" s="501" t="str">
        <f t="shared" ref="U188:U197" si="248">IF($B188=8, $L188,"")</f>
        <v/>
      </c>
    </row>
    <row r="189" spans="1:21" x14ac:dyDescent="0.3">
      <c r="A189" s="505">
        <f>10</f>
        <v>10</v>
      </c>
      <c r="B189" s="495"/>
      <c r="C189" s="495"/>
      <c r="D189" s="495"/>
      <c r="E189" s="495"/>
      <c r="F189" s="496" t="str">
        <f t="shared" si="234"/>
        <v/>
      </c>
      <c r="G189" s="497" t="str">
        <f t="shared" si="235"/>
        <v/>
      </c>
      <c r="H189" s="496" t="str">
        <f t="shared" si="236"/>
        <v/>
      </c>
      <c r="I189" s="498" t="str">
        <f t="shared" si="237"/>
        <v/>
      </c>
      <c r="J189" s="498" t="str">
        <f t="shared" si="238"/>
        <v/>
      </c>
      <c r="K189" s="498" t="str">
        <f t="shared" si="239"/>
        <v/>
      </c>
      <c r="L189" s="498" t="str">
        <f t="shared" si="240"/>
        <v/>
      </c>
      <c r="M189" s="492"/>
      <c r="N189" s="498" t="str">
        <f t="shared" si="241"/>
        <v/>
      </c>
      <c r="O189" s="498" t="str">
        <f t="shared" si="242"/>
        <v/>
      </c>
      <c r="P189" s="498" t="str">
        <f t="shared" si="243"/>
        <v/>
      </c>
      <c r="Q189" s="498" t="str">
        <f t="shared" si="244"/>
        <v/>
      </c>
      <c r="R189" s="498" t="str">
        <f t="shared" si="245"/>
        <v/>
      </c>
      <c r="S189" s="498" t="str">
        <f t="shared" si="246"/>
        <v/>
      </c>
      <c r="T189" s="498" t="str">
        <f t="shared" si="247"/>
        <v/>
      </c>
      <c r="U189" s="501" t="str">
        <f t="shared" si="248"/>
        <v/>
      </c>
    </row>
    <row r="190" spans="1:21" x14ac:dyDescent="0.3">
      <c r="A190" s="505">
        <f>10</f>
        <v>10</v>
      </c>
      <c r="B190" s="495"/>
      <c r="C190" s="495"/>
      <c r="D190" s="495"/>
      <c r="E190" s="495"/>
      <c r="F190" s="496" t="str">
        <f t="shared" si="234"/>
        <v/>
      </c>
      <c r="G190" s="497" t="str">
        <f t="shared" si="235"/>
        <v/>
      </c>
      <c r="H190" s="496" t="str">
        <f t="shared" si="236"/>
        <v/>
      </c>
      <c r="I190" s="498" t="str">
        <f t="shared" si="237"/>
        <v/>
      </c>
      <c r="J190" s="498" t="str">
        <f t="shared" si="238"/>
        <v/>
      </c>
      <c r="K190" s="498" t="str">
        <f t="shared" si="239"/>
        <v/>
      </c>
      <c r="L190" s="498" t="str">
        <f t="shared" si="240"/>
        <v/>
      </c>
      <c r="M190" s="492"/>
      <c r="N190" s="498" t="str">
        <f t="shared" si="241"/>
        <v/>
      </c>
      <c r="O190" s="498" t="str">
        <f t="shared" si="242"/>
        <v/>
      </c>
      <c r="P190" s="498" t="str">
        <f t="shared" si="243"/>
        <v/>
      </c>
      <c r="Q190" s="498" t="str">
        <f t="shared" si="244"/>
        <v/>
      </c>
      <c r="R190" s="498" t="str">
        <f t="shared" si="245"/>
        <v/>
      </c>
      <c r="S190" s="498" t="str">
        <f t="shared" si="246"/>
        <v/>
      </c>
      <c r="T190" s="498" t="str">
        <f t="shared" si="247"/>
        <v/>
      </c>
      <c r="U190" s="501" t="str">
        <f t="shared" si="248"/>
        <v/>
      </c>
    </row>
    <row r="191" spans="1:21" x14ac:dyDescent="0.3">
      <c r="A191" s="505">
        <f>10</f>
        <v>10</v>
      </c>
      <c r="B191" s="495"/>
      <c r="C191" s="495"/>
      <c r="D191" s="495"/>
      <c r="E191" s="495"/>
      <c r="F191" s="496" t="str">
        <f t="shared" si="234"/>
        <v/>
      </c>
      <c r="G191" s="497" t="str">
        <f t="shared" si="235"/>
        <v/>
      </c>
      <c r="H191" s="496" t="str">
        <f t="shared" si="236"/>
        <v/>
      </c>
      <c r="I191" s="498" t="str">
        <f t="shared" si="237"/>
        <v/>
      </c>
      <c r="J191" s="498" t="str">
        <f t="shared" si="238"/>
        <v/>
      </c>
      <c r="K191" s="498" t="str">
        <f t="shared" si="239"/>
        <v/>
      </c>
      <c r="L191" s="498" t="str">
        <f t="shared" si="240"/>
        <v/>
      </c>
      <c r="M191" s="492"/>
      <c r="N191" s="498" t="str">
        <f t="shared" si="241"/>
        <v/>
      </c>
      <c r="O191" s="498" t="str">
        <f t="shared" si="242"/>
        <v/>
      </c>
      <c r="P191" s="498" t="str">
        <f t="shared" si="243"/>
        <v/>
      </c>
      <c r="Q191" s="498" t="str">
        <f t="shared" si="244"/>
        <v/>
      </c>
      <c r="R191" s="498" t="str">
        <f t="shared" si="245"/>
        <v/>
      </c>
      <c r="S191" s="498" t="str">
        <f t="shared" si="246"/>
        <v/>
      </c>
      <c r="T191" s="498" t="str">
        <f t="shared" si="247"/>
        <v/>
      </c>
      <c r="U191" s="501" t="str">
        <f t="shared" si="248"/>
        <v/>
      </c>
    </row>
    <row r="192" spans="1:21" x14ac:dyDescent="0.3">
      <c r="A192" s="505">
        <f>10</f>
        <v>10</v>
      </c>
      <c r="B192" s="495"/>
      <c r="C192" s="495"/>
      <c r="D192" s="495"/>
      <c r="E192" s="495"/>
      <c r="F192" s="496" t="str">
        <f t="shared" si="234"/>
        <v/>
      </c>
      <c r="G192" s="497" t="str">
        <f t="shared" si="235"/>
        <v/>
      </c>
      <c r="H192" s="496" t="str">
        <f t="shared" si="236"/>
        <v/>
      </c>
      <c r="I192" s="498" t="str">
        <f t="shared" si="237"/>
        <v/>
      </c>
      <c r="J192" s="498" t="str">
        <f t="shared" si="238"/>
        <v/>
      </c>
      <c r="K192" s="498" t="str">
        <f t="shared" si="239"/>
        <v/>
      </c>
      <c r="L192" s="498" t="str">
        <f t="shared" si="240"/>
        <v/>
      </c>
      <c r="M192" s="492"/>
      <c r="N192" s="498" t="str">
        <f t="shared" si="241"/>
        <v/>
      </c>
      <c r="O192" s="498" t="str">
        <f t="shared" si="242"/>
        <v/>
      </c>
      <c r="P192" s="498" t="str">
        <f t="shared" si="243"/>
        <v/>
      </c>
      <c r="Q192" s="498" t="str">
        <f t="shared" si="244"/>
        <v/>
      </c>
      <c r="R192" s="498" t="str">
        <f t="shared" si="245"/>
        <v/>
      </c>
      <c r="S192" s="498" t="str">
        <f t="shared" si="246"/>
        <v/>
      </c>
      <c r="T192" s="498" t="str">
        <f t="shared" si="247"/>
        <v/>
      </c>
      <c r="U192" s="501" t="str">
        <f t="shared" si="248"/>
        <v/>
      </c>
    </row>
    <row r="193" spans="1:21" x14ac:dyDescent="0.3">
      <c r="A193" s="505">
        <f>10</f>
        <v>10</v>
      </c>
      <c r="B193" s="495"/>
      <c r="C193" s="495"/>
      <c r="D193" s="495"/>
      <c r="E193" s="495"/>
      <c r="F193" s="496" t="str">
        <f t="shared" si="234"/>
        <v/>
      </c>
      <c r="G193" s="497" t="str">
        <f t="shared" si="235"/>
        <v/>
      </c>
      <c r="H193" s="496" t="str">
        <f t="shared" si="236"/>
        <v/>
      </c>
      <c r="I193" s="498" t="str">
        <f t="shared" si="237"/>
        <v/>
      </c>
      <c r="J193" s="498" t="str">
        <f t="shared" si="238"/>
        <v/>
      </c>
      <c r="K193" s="498" t="str">
        <f t="shared" si="239"/>
        <v/>
      </c>
      <c r="L193" s="498" t="str">
        <f t="shared" si="240"/>
        <v/>
      </c>
      <c r="M193" s="492"/>
      <c r="N193" s="498" t="str">
        <f t="shared" si="241"/>
        <v/>
      </c>
      <c r="O193" s="498" t="str">
        <f t="shared" si="242"/>
        <v/>
      </c>
      <c r="P193" s="498" t="str">
        <f t="shared" si="243"/>
        <v/>
      </c>
      <c r="Q193" s="498" t="str">
        <f t="shared" si="244"/>
        <v/>
      </c>
      <c r="R193" s="498" t="str">
        <f t="shared" si="245"/>
        <v/>
      </c>
      <c r="S193" s="498" t="str">
        <f t="shared" si="246"/>
        <v/>
      </c>
      <c r="T193" s="498" t="str">
        <f t="shared" si="247"/>
        <v/>
      </c>
      <c r="U193" s="501" t="str">
        <f t="shared" si="248"/>
        <v/>
      </c>
    </row>
    <row r="194" spans="1:21" x14ac:dyDescent="0.3">
      <c r="A194" s="505">
        <f>10</f>
        <v>10</v>
      </c>
      <c r="B194" s="495"/>
      <c r="C194" s="495"/>
      <c r="D194" s="495"/>
      <c r="E194" s="495"/>
      <c r="F194" s="496" t="str">
        <f t="shared" si="234"/>
        <v/>
      </c>
      <c r="G194" s="497" t="str">
        <f t="shared" si="235"/>
        <v/>
      </c>
      <c r="H194" s="496" t="str">
        <f t="shared" si="236"/>
        <v/>
      </c>
      <c r="I194" s="498" t="str">
        <f t="shared" si="237"/>
        <v/>
      </c>
      <c r="J194" s="498" t="str">
        <f t="shared" si="238"/>
        <v/>
      </c>
      <c r="K194" s="498" t="str">
        <f t="shared" si="239"/>
        <v/>
      </c>
      <c r="L194" s="498" t="str">
        <f t="shared" si="240"/>
        <v/>
      </c>
      <c r="M194" s="492"/>
      <c r="N194" s="498" t="str">
        <f t="shared" si="241"/>
        <v/>
      </c>
      <c r="O194" s="498" t="str">
        <f t="shared" si="242"/>
        <v/>
      </c>
      <c r="P194" s="498" t="str">
        <f t="shared" si="243"/>
        <v/>
      </c>
      <c r="Q194" s="498" t="str">
        <f t="shared" si="244"/>
        <v/>
      </c>
      <c r="R194" s="498" t="str">
        <f t="shared" si="245"/>
        <v/>
      </c>
      <c r="S194" s="498" t="str">
        <f t="shared" si="246"/>
        <v/>
      </c>
      <c r="T194" s="498" t="str">
        <f t="shared" si="247"/>
        <v/>
      </c>
      <c r="U194" s="501" t="str">
        <f t="shared" si="248"/>
        <v/>
      </c>
    </row>
    <row r="195" spans="1:21" x14ac:dyDescent="0.3">
      <c r="A195" s="505">
        <f>10</f>
        <v>10</v>
      </c>
      <c r="B195" s="495"/>
      <c r="C195" s="495"/>
      <c r="D195" s="495"/>
      <c r="E195" s="495"/>
      <c r="F195" s="496" t="str">
        <f t="shared" si="234"/>
        <v/>
      </c>
      <c r="G195" s="497" t="str">
        <f t="shared" si="235"/>
        <v/>
      </c>
      <c r="H195" s="496" t="str">
        <f t="shared" si="236"/>
        <v/>
      </c>
      <c r="I195" s="498" t="str">
        <f t="shared" si="237"/>
        <v/>
      </c>
      <c r="J195" s="498" t="str">
        <f t="shared" si="238"/>
        <v/>
      </c>
      <c r="K195" s="498" t="str">
        <f t="shared" si="239"/>
        <v/>
      </c>
      <c r="L195" s="498" t="str">
        <f t="shared" si="240"/>
        <v/>
      </c>
      <c r="M195" s="492"/>
      <c r="N195" s="498" t="str">
        <f t="shared" si="241"/>
        <v/>
      </c>
      <c r="O195" s="498" t="str">
        <f t="shared" si="242"/>
        <v/>
      </c>
      <c r="P195" s="498" t="str">
        <f t="shared" si="243"/>
        <v/>
      </c>
      <c r="Q195" s="498" t="str">
        <f t="shared" si="244"/>
        <v/>
      </c>
      <c r="R195" s="498" t="str">
        <f t="shared" si="245"/>
        <v/>
      </c>
      <c r="S195" s="498" t="str">
        <f t="shared" si="246"/>
        <v/>
      </c>
      <c r="T195" s="498" t="str">
        <f t="shared" si="247"/>
        <v/>
      </c>
      <c r="U195" s="501" t="str">
        <f t="shared" si="248"/>
        <v/>
      </c>
    </row>
    <row r="196" spans="1:21" x14ac:dyDescent="0.3">
      <c r="A196" s="505">
        <f>10</f>
        <v>10</v>
      </c>
      <c r="B196" s="495"/>
      <c r="C196" s="495"/>
      <c r="D196" s="495"/>
      <c r="E196" s="495"/>
      <c r="F196" s="496" t="str">
        <f t="shared" si="234"/>
        <v/>
      </c>
      <c r="G196" s="497" t="str">
        <f t="shared" si="235"/>
        <v/>
      </c>
      <c r="H196" s="496" t="str">
        <f t="shared" si="236"/>
        <v/>
      </c>
      <c r="I196" s="498" t="str">
        <f t="shared" si="237"/>
        <v/>
      </c>
      <c r="J196" s="498" t="str">
        <f t="shared" si="238"/>
        <v/>
      </c>
      <c r="K196" s="498" t="str">
        <f t="shared" si="239"/>
        <v/>
      </c>
      <c r="L196" s="498" t="str">
        <f t="shared" si="240"/>
        <v/>
      </c>
      <c r="M196" s="492"/>
      <c r="N196" s="498" t="str">
        <f t="shared" si="241"/>
        <v/>
      </c>
      <c r="O196" s="498" t="str">
        <f t="shared" si="242"/>
        <v/>
      </c>
      <c r="P196" s="498" t="str">
        <f t="shared" si="243"/>
        <v/>
      </c>
      <c r="Q196" s="498" t="str">
        <f t="shared" si="244"/>
        <v/>
      </c>
      <c r="R196" s="498" t="str">
        <f t="shared" si="245"/>
        <v/>
      </c>
      <c r="S196" s="498" t="str">
        <f t="shared" si="246"/>
        <v/>
      </c>
      <c r="T196" s="498" t="str">
        <f t="shared" si="247"/>
        <v/>
      </c>
      <c r="U196" s="501" t="str">
        <f t="shared" si="248"/>
        <v/>
      </c>
    </row>
    <row r="197" spans="1:21" x14ac:dyDescent="0.3">
      <c r="A197" s="505">
        <f>10</f>
        <v>10</v>
      </c>
      <c r="B197" s="495"/>
      <c r="C197" s="495"/>
      <c r="D197" s="495"/>
      <c r="E197" s="495"/>
      <c r="F197" s="496" t="str">
        <f t="shared" si="234"/>
        <v/>
      </c>
      <c r="G197" s="497" t="str">
        <f t="shared" si="235"/>
        <v/>
      </c>
      <c r="H197" s="496" t="str">
        <f t="shared" si="236"/>
        <v/>
      </c>
      <c r="I197" s="498" t="str">
        <f t="shared" si="237"/>
        <v/>
      </c>
      <c r="J197" s="498" t="str">
        <f t="shared" si="238"/>
        <v/>
      </c>
      <c r="K197" s="498" t="str">
        <f t="shared" si="239"/>
        <v/>
      </c>
      <c r="L197" s="498" t="str">
        <f t="shared" si="240"/>
        <v/>
      </c>
      <c r="M197" s="492"/>
      <c r="N197" s="498" t="str">
        <f t="shared" si="241"/>
        <v/>
      </c>
      <c r="O197" s="498" t="str">
        <f t="shared" si="242"/>
        <v/>
      </c>
      <c r="P197" s="498" t="str">
        <f t="shared" si="243"/>
        <v/>
      </c>
      <c r="Q197" s="498" t="str">
        <f t="shared" si="244"/>
        <v/>
      </c>
      <c r="R197" s="498" t="str">
        <f t="shared" si="245"/>
        <v/>
      </c>
      <c r="S197" s="498" t="str">
        <f t="shared" si="246"/>
        <v/>
      </c>
      <c r="T197" s="498" t="str">
        <f t="shared" si="247"/>
        <v/>
      </c>
      <c r="U197" s="501" t="str">
        <f t="shared" si="248"/>
        <v/>
      </c>
    </row>
    <row r="198" spans="1:21" x14ac:dyDescent="0.3">
      <c r="B198" s="431" t="s">
        <v>139</v>
      </c>
      <c r="C198" s="253">
        <f>COUNT(B188:B197)</f>
        <v>0</v>
      </c>
      <c r="D198" s="445"/>
      <c r="E198" s="445"/>
      <c r="F198" s="445"/>
      <c r="G198" s="445"/>
      <c r="J198" s="502" t="s">
        <v>104</v>
      </c>
      <c r="K198" s="254" t="str">
        <f>IF($A188&lt;=$B$5,SUM(K188:K197),"")</f>
        <v/>
      </c>
      <c r="L198" s="254" t="str">
        <f>IF($A188&lt;=$B$5,SUM(L188:L197),"")</f>
        <v/>
      </c>
      <c r="M198" s="492"/>
      <c r="N198" s="254">
        <f t="shared" ref="N198:U198" si="249">SUM(N188:N197)</f>
        <v>0</v>
      </c>
      <c r="O198" s="256">
        <f t="shared" si="249"/>
        <v>0</v>
      </c>
      <c r="P198" s="256">
        <f t="shared" si="249"/>
        <v>0</v>
      </c>
      <c r="Q198" s="256">
        <f t="shared" si="249"/>
        <v>0</v>
      </c>
      <c r="R198" s="256">
        <f t="shared" si="249"/>
        <v>0</v>
      </c>
      <c r="S198" s="256">
        <f t="shared" si="249"/>
        <v>0</v>
      </c>
      <c r="T198" s="256">
        <f t="shared" si="249"/>
        <v>0</v>
      </c>
      <c r="U198" s="256">
        <f t="shared" si="249"/>
        <v>0</v>
      </c>
    </row>
    <row r="199" spans="1:21" x14ac:dyDescent="0.3">
      <c r="P199" s="458"/>
      <c r="Q199" s="458"/>
      <c r="R199" s="458"/>
      <c r="S199" s="458"/>
      <c r="T199" s="458"/>
      <c r="U199" s="458"/>
    </row>
    <row r="200" spans="1:21" x14ac:dyDescent="0.3">
      <c r="P200" s="458"/>
      <c r="Q200" s="458"/>
      <c r="R200" s="458"/>
      <c r="S200" s="458"/>
      <c r="T200" s="458"/>
      <c r="U200" s="458"/>
    </row>
    <row r="201" spans="1:21" x14ac:dyDescent="0.3">
      <c r="P201" s="458"/>
      <c r="Q201" s="458"/>
      <c r="R201" s="458"/>
      <c r="S201" s="458"/>
      <c r="T201" s="458"/>
      <c r="U201" s="458"/>
    </row>
    <row r="202" spans="1:21" x14ac:dyDescent="0.3">
      <c r="P202" s="458"/>
      <c r="Q202" s="458"/>
      <c r="R202" s="458"/>
      <c r="S202" s="458"/>
      <c r="T202" s="458"/>
      <c r="U202" s="458"/>
    </row>
    <row r="203" spans="1:21" x14ac:dyDescent="0.3">
      <c r="A203" s="583" t="s">
        <v>167</v>
      </c>
      <c r="B203" s="583"/>
    </row>
    <row r="204" spans="1:21" x14ac:dyDescent="0.3">
      <c r="A204" s="577" t="s">
        <v>44</v>
      </c>
      <c r="B204" s="578" t="s">
        <v>44</v>
      </c>
      <c r="C204" s="578" t="s">
        <v>978</v>
      </c>
    </row>
    <row r="205" spans="1:21" x14ac:dyDescent="0.3">
      <c r="A205" s="577"/>
      <c r="B205" s="579"/>
      <c r="C205" s="579"/>
    </row>
    <row r="206" spans="1:21" x14ac:dyDescent="0.3">
      <c r="A206" s="463">
        <v>1</v>
      </c>
      <c r="B206" s="477" t="str">
        <f>IF($A$11="","",(A11))</f>
        <v/>
      </c>
      <c r="C206" s="510" t="e">
        <f>(N45+N62+N79+N96+N113+N130+N147+N164+N181+N198)/$B$5</f>
        <v>#DIV/0!</v>
      </c>
      <c r="D206" s="445"/>
    </row>
    <row r="207" spans="1:21" x14ac:dyDescent="0.3">
      <c r="A207" s="463">
        <v>2</v>
      </c>
      <c r="B207" s="477" t="str">
        <f>IF($A$12="","",(A12))</f>
        <v/>
      </c>
      <c r="C207" s="510" t="e">
        <f>(O45+O62+O79+O96+O113+O130+O147+O164+O181+O198)/$B$5</f>
        <v>#DIV/0!</v>
      </c>
      <c r="D207" s="445"/>
    </row>
    <row r="208" spans="1:21" x14ac:dyDescent="0.3">
      <c r="A208" s="463">
        <v>3</v>
      </c>
      <c r="B208" s="477" t="str">
        <f>IF($A$13="","",(A13))</f>
        <v/>
      </c>
      <c r="C208" s="510" t="e">
        <f>(P45+P62+P79+P96+P113+P130+P147+P164+P181+P198)/$B$5</f>
        <v>#DIV/0!</v>
      </c>
      <c r="D208" s="445"/>
    </row>
    <row r="209" spans="1:15" x14ac:dyDescent="0.3">
      <c r="A209" s="463">
        <v>4</v>
      </c>
      <c r="B209" s="477" t="str">
        <f>IF($A$14="","",(A14))</f>
        <v/>
      </c>
      <c r="C209" s="510" t="e">
        <f>(Q45+Q62+Q79+Q96+Q113+Q130+Q147+Q164+Q181+Q198)/$B$5</f>
        <v>#DIV/0!</v>
      </c>
      <c r="D209" s="445"/>
    </row>
    <row r="210" spans="1:15" x14ac:dyDescent="0.3">
      <c r="A210" s="463">
        <v>5</v>
      </c>
      <c r="B210" s="477" t="str">
        <f>IF($A$15="","",(A15))</f>
        <v/>
      </c>
      <c r="C210" s="510" t="e">
        <f>(R45+R62+R79+R96+R113+R130+R147+R164+R181+R198)/$B$5</f>
        <v>#DIV/0!</v>
      </c>
      <c r="D210" s="445"/>
    </row>
    <row r="211" spans="1:15" x14ac:dyDescent="0.3">
      <c r="A211" s="463">
        <v>6</v>
      </c>
      <c r="B211" s="477" t="str">
        <f>IF($A$16="","",(A16))</f>
        <v/>
      </c>
      <c r="C211" s="510" t="e">
        <f>(S45+S62+S79+S96+S113+S130+S147+S164+S181+S198)/$B$5</f>
        <v>#DIV/0!</v>
      </c>
      <c r="D211" s="445"/>
    </row>
    <row r="212" spans="1:15" x14ac:dyDescent="0.3">
      <c r="A212" s="463">
        <v>7</v>
      </c>
      <c r="B212" s="477" t="str">
        <f>IF($A$17="","",(A17))</f>
        <v/>
      </c>
      <c r="C212" s="510" t="e">
        <f>(T45+T62+T79+T96+T113+T130+T147+T164+T181+T198)/$B$5</f>
        <v>#DIV/0!</v>
      </c>
      <c r="D212" s="445"/>
    </row>
    <row r="213" spans="1:15" x14ac:dyDescent="0.3">
      <c r="A213" s="463">
        <v>8</v>
      </c>
      <c r="B213" s="477" t="str">
        <f>IF($A$18="","",(A18))</f>
        <v/>
      </c>
      <c r="C213" s="510" t="e">
        <f>(U45+U62+U79+U96+U113+U130+U147+U164+U181+U198)/$B$5</f>
        <v>#DIV/0!</v>
      </c>
      <c r="D213" s="445"/>
    </row>
    <row r="215" spans="1:15" ht="21" x14ac:dyDescent="0.3">
      <c r="A215" s="602" t="s">
        <v>986</v>
      </c>
      <c r="B215" s="602"/>
      <c r="C215" s="431"/>
      <c r="D215" s="431"/>
      <c r="E215" s="438"/>
      <c r="F215" s="438"/>
      <c r="G215" s="438"/>
      <c r="H215" s="438"/>
      <c r="I215" s="438"/>
      <c r="J215" s="438"/>
      <c r="K215" s="438"/>
      <c r="L215" s="438"/>
      <c r="M215" s="525"/>
      <c r="N215" s="525"/>
    </row>
    <row r="216" spans="1:15" x14ac:dyDescent="0.3">
      <c r="A216" s="577" t="s">
        <v>44</v>
      </c>
      <c r="B216" s="578" t="s">
        <v>44</v>
      </c>
      <c r="C216" s="491" t="s">
        <v>103</v>
      </c>
      <c r="D216" s="491" t="s">
        <v>68</v>
      </c>
      <c r="E216" s="491" t="s">
        <v>69</v>
      </c>
      <c r="F216" s="491" t="s">
        <v>70</v>
      </c>
      <c r="G216" s="491" t="s">
        <v>71</v>
      </c>
      <c r="H216" s="491" t="s">
        <v>72</v>
      </c>
      <c r="I216" s="491" t="s">
        <v>73</v>
      </c>
      <c r="J216" s="491" t="s">
        <v>74</v>
      </c>
      <c r="K216" s="491" t="s">
        <v>75</v>
      </c>
      <c r="L216" s="491" t="s">
        <v>76</v>
      </c>
      <c r="M216" s="491" t="s">
        <v>77</v>
      </c>
      <c r="N216" s="491" t="s">
        <v>78</v>
      </c>
    </row>
    <row r="217" spans="1:15" x14ac:dyDescent="0.3">
      <c r="A217" s="577"/>
      <c r="B217" s="579"/>
      <c r="C217" s="491" t="s">
        <v>80</v>
      </c>
      <c r="D217" s="491" t="s">
        <v>81</v>
      </c>
      <c r="E217" s="491" t="s">
        <v>82</v>
      </c>
      <c r="F217" s="491" t="s">
        <v>83</v>
      </c>
      <c r="G217" s="491" t="s">
        <v>84</v>
      </c>
      <c r="H217" s="491" t="s">
        <v>85</v>
      </c>
      <c r="I217" s="491" t="s">
        <v>86</v>
      </c>
      <c r="J217" s="491" t="s">
        <v>87</v>
      </c>
      <c r="K217" s="491" t="s">
        <v>88</v>
      </c>
      <c r="L217" s="491" t="s">
        <v>89</v>
      </c>
      <c r="M217" s="491" t="s">
        <v>90</v>
      </c>
      <c r="N217" s="491" t="s">
        <v>91</v>
      </c>
    </row>
    <row r="218" spans="1:15" x14ac:dyDescent="0.3">
      <c r="A218" s="463">
        <v>1</v>
      </c>
      <c r="B218" s="477" t="str">
        <f>IF($A$11="","",(A11))</f>
        <v/>
      </c>
      <c r="C218" s="511" t="e">
        <f t="shared" ref="C218:N218" si="250">$C$206*C23</f>
        <v>#DIV/0!</v>
      </c>
      <c r="D218" s="511" t="e">
        <f t="shared" si="250"/>
        <v>#DIV/0!</v>
      </c>
      <c r="E218" s="511" t="e">
        <f t="shared" si="250"/>
        <v>#DIV/0!</v>
      </c>
      <c r="F218" s="511" t="e">
        <f t="shared" si="250"/>
        <v>#DIV/0!</v>
      </c>
      <c r="G218" s="511" t="e">
        <f t="shared" si="250"/>
        <v>#DIV/0!</v>
      </c>
      <c r="H218" s="511" t="e">
        <f t="shared" si="250"/>
        <v>#DIV/0!</v>
      </c>
      <c r="I218" s="511" t="e">
        <f t="shared" si="250"/>
        <v>#DIV/0!</v>
      </c>
      <c r="J218" s="511" t="e">
        <f t="shared" si="250"/>
        <v>#DIV/0!</v>
      </c>
      <c r="K218" s="511" t="e">
        <f t="shared" si="250"/>
        <v>#DIV/0!</v>
      </c>
      <c r="L218" s="511" t="e">
        <f t="shared" si="250"/>
        <v>#DIV/0!</v>
      </c>
      <c r="M218" s="511" t="e">
        <f t="shared" si="250"/>
        <v>#DIV/0!</v>
      </c>
      <c r="N218" s="511" t="e">
        <f t="shared" si="250"/>
        <v>#DIV/0!</v>
      </c>
      <c r="O218" s="452"/>
    </row>
    <row r="219" spans="1:15" x14ac:dyDescent="0.3">
      <c r="A219" s="463">
        <v>2</v>
      </c>
      <c r="B219" s="477" t="str">
        <f>IF($A$12="","",(A12))</f>
        <v/>
      </c>
      <c r="C219" s="511" t="e">
        <f t="shared" ref="C219:N219" si="251">$C$207*C24</f>
        <v>#DIV/0!</v>
      </c>
      <c r="D219" s="511" t="e">
        <f t="shared" si="251"/>
        <v>#DIV/0!</v>
      </c>
      <c r="E219" s="511" t="e">
        <f t="shared" si="251"/>
        <v>#DIV/0!</v>
      </c>
      <c r="F219" s="511" t="e">
        <f t="shared" si="251"/>
        <v>#DIV/0!</v>
      </c>
      <c r="G219" s="511" t="e">
        <f t="shared" si="251"/>
        <v>#DIV/0!</v>
      </c>
      <c r="H219" s="511" t="e">
        <f t="shared" si="251"/>
        <v>#DIV/0!</v>
      </c>
      <c r="I219" s="511" t="e">
        <f t="shared" si="251"/>
        <v>#DIV/0!</v>
      </c>
      <c r="J219" s="511" t="e">
        <f t="shared" si="251"/>
        <v>#DIV/0!</v>
      </c>
      <c r="K219" s="511" t="e">
        <f t="shared" si="251"/>
        <v>#DIV/0!</v>
      </c>
      <c r="L219" s="511" t="e">
        <f t="shared" si="251"/>
        <v>#DIV/0!</v>
      </c>
      <c r="M219" s="511" t="e">
        <f t="shared" si="251"/>
        <v>#DIV/0!</v>
      </c>
      <c r="N219" s="511" t="e">
        <f t="shared" si="251"/>
        <v>#DIV/0!</v>
      </c>
    </row>
    <row r="220" spans="1:15" x14ac:dyDescent="0.3">
      <c r="A220" s="463">
        <v>3</v>
      </c>
      <c r="B220" s="477" t="str">
        <f>IF($A$13="","",(A13))</f>
        <v/>
      </c>
      <c r="C220" s="511" t="e">
        <f t="shared" ref="C220:N220" si="252">$C$208*C25</f>
        <v>#DIV/0!</v>
      </c>
      <c r="D220" s="511" t="e">
        <f t="shared" si="252"/>
        <v>#DIV/0!</v>
      </c>
      <c r="E220" s="511" t="e">
        <f t="shared" si="252"/>
        <v>#DIV/0!</v>
      </c>
      <c r="F220" s="511" t="e">
        <f t="shared" si="252"/>
        <v>#DIV/0!</v>
      </c>
      <c r="G220" s="511" t="e">
        <f t="shared" si="252"/>
        <v>#DIV/0!</v>
      </c>
      <c r="H220" s="511" t="e">
        <f t="shared" si="252"/>
        <v>#DIV/0!</v>
      </c>
      <c r="I220" s="511" t="e">
        <f t="shared" si="252"/>
        <v>#DIV/0!</v>
      </c>
      <c r="J220" s="511" t="e">
        <f t="shared" si="252"/>
        <v>#DIV/0!</v>
      </c>
      <c r="K220" s="511" t="e">
        <f t="shared" si="252"/>
        <v>#DIV/0!</v>
      </c>
      <c r="L220" s="511" t="e">
        <f t="shared" si="252"/>
        <v>#DIV/0!</v>
      </c>
      <c r="M220" s="511" t="e">
        <f t="shared" si="252"/>
        <v>#DIV/0!</v>
      </c>
      <c r="N220" s="511" t="e">
        <f t="shared" si="252"/>
        <v>#DIV/0!</v>
      </c>
      <c r="O220" s="451"/>
    </row>
    <row r="221" spans="1:15" x14ac:dyDescent="0.3">
      <c r="A221" s="463">
        <v>4</v>
      </c>
      <c r="B221" s="477" t="str">
        <f>IF($A$14="","",(A14))</f>
        <v/>
      </c>
      <c r="C221" s="511" t="e">
        <f t="shared" ref="C221:N221" si="253">$C$209*C26</f>
        <v>#DIV/0!</v>
      </c>
      <c r="D221" s="511" t="e">
        <f t="shared" si="253"/>
        <v>#DIV/0!</v>
      </c>
      <c r="E221" s="511" t="e">
        <f t="shared" si="253"/>
        <v>#DIV/0!</v>
      </c>
      <c r="F221" s="511" t="e">
        <f t="shared" si="253"/>
        <v>#DIV/0!</v>
      </c>
      <c r="G221" s="511" t="e">
        <f t="shared" si="253"/>
        <v>#DIV/0!</v>
      </c>
      <c r="H221" s="511" t="e">
        <f t="shared" si="253"/>
        <v>#DIV/0!</v>
      </c>
      <c r="I221" s="511" t="e">
        <f t="shared" si="253"/>
        <v>#DIV/0!</v>
      </c>
      <c r="J221" s="511" t="e">
        <f t="shared" si="253"/>
        <v>#DIV/0!</v>
      </c>
      <c r="K221" s="511" t="e">
        <f t="shared" si="253"/>
        <v>#DIV/0!</v>
      </c>
      <c r="L221" s="511" t="e">
        <f t="shared" si="253"/>
        <v>#DIV/0!</v>
      </c>
      <c r="M221" s="511" t="e">
        <f t="shared" si="253"/>
        <v>#DIV/0!</v>
      </c>
      <c r="N221" s="511" t="e">
        <f t="shared" si="253"/>
        <v>#DIV/0!</v>
      </c>
    </row>
    <row r="222" spans="1:15" x14ac:dyDescent="0.3">
      <c r="A222" s="463">
        <v>5</v>
      </c>
      <c r="B222" s="477" t="str">
        <f>IF($A$15="","",(A15))</f>
        <v/>
      </c>
      <c r="C222" s="511" t="e">
        <f t="shared" ref="C222:N222" si="254">$C$210*C27</f>
        <v>#DIV/0!</v>
      </c>
      <c r="D222" s="511" t="e">
        <f t="shared" si="254"/>
        <v>#DIV/0!</v>
      </c>
      <c r="E222" s="511" t="e">
        <f t="shared" si="254"/>
        <v>#DIV/0!</v>
      </c>
      <c r="F222" s="511" t="e">
        <f t="shared" si="254"/>
        <v>#DIV/0!</v>
      </c>
      <c r="G222" s="511" t="e">
        <f t="shared" si="254"/>
        <v>#DIV/0!</v>
      </c>
      <c r="H222" s="511" t="e">
        <f t="shared" si="254"/>
        <v>#DIV/0!</v>
      </c>
      <c r="I222" s="511" t="e">
        <f t="shared" si="254"/>
        <v>#DIV/0!</v>
      </c>
      <c r="J222" s="511" t="e">
        <f t="shared" si="254"/>
        <v>#DIV/0!</v>
      </c>
      <c r="K222" s="511" t="e">
        <f t="shared" si="254"/>
        <v>#DIV/0!</v>
      </c>
      <c r="L222" s="511" t="e">
        <f t="shared" si="254"/>
        <v>#DIV/0!</v>
      </c>
      <c r="M222" s="511" t="e">
        <f t="shared" si="254"/>
        <v>#DIV/0!</v>
      </c>
      <c r="N222" s="511" t="e">
        <f t="shared" si="254"/>
        <v>#DIV/0!</v>
      </c>
    </row>
    <row r="223" spans="1:15" x14ac:dyDescent="0.3">
      <c r="A223" s="463">
        <v>6</v>
      </c>
      <c r="B223" s="477" t="str">
        <f>IF($A$16="","",(A16))</f>
        <v/>
      </c>
      <c r="C223" s="511" t="e">
        <f t="shared" ref="C223:N223" si="255">$C$211*C28</f>
        <v>#DIV/0!</v>
      </c>
      <c r="D223" s="511" t="e">
        <f t="shared" si="255"/>
        <v>#DIV/0!</v>
      </c>
      <c r="E223" s="511" t="e">
        <f t="shared" si="255"/>
        <v>#DIV/0!</v>
      </c>
      <c r="F223" s="511" t="e">
        <f t="shared" si="255"/>
        <v>#DIV/0!</v>
      </c>
      <c r="G223" s="511" t="e">
        <f t="shared" si="255"/>
        <v>#DIV/0!</v>
      </c>
      <c r="H223" s="511" t="e">
        <f t="shared" si="255"/>
        <v>#DIV/0!</v>
      </c>
      <c r="I223" s="511" t="e">
        <f t="shared" si="255"/>
        <v>#DIV/0!</v>
      </c>
      <c r="J223" s="511" t="e">
        <f t="shared" si="255"/>
        <v>#DIV/0!</v>
      </c>
      <c r="K223" s="511" t="e">
        <f t="shared" si="255"/>
        <v>#DIV/0!</v>
      </c>
      <c r="L223" s="511" t="e">
        <f t="shared" si="255"/>
        <v>#DIV/0!</v>
      </c>
      <c r="M223" s="511" t="e">
        <f t="shared" si="255"/>
        <v>#DIV/0!</v>
      </c>
      <c r="N223" s="511" t="e">
        <f t="shared" si="255"/>
        <v>#DIV/0!</v>
      </c>
    </row>
    <row r="224" spans="1:15" x14ac:dyDescent="0.3">
      <c r="A224" s="463">
        <v>7</v>
      </c>
      <c r="B224" s="477" t="str">
        <f>IF($A$17="","",(A17))</f>
        <v/>
      </c>
      <c r="C224" s="511" t="e">
        <f t="shared" ref="C224:N224" si="256">$C$212*C29</f>
        <v>#DIV/0!</v>
      </c>
      <c r="D224" s="511" t="e">
        <f t="shared" si="256"/>
        <v>#DIV/0!</v>
      </c>
      <c r="E224" s="511" t="e">
        <f t="shared" si="256"/>
        <v>#DIV/0!</v>
      </c>
      <c r="F224" s="511" t="e">
        <f t="shared" si="256"/>
        <v>#DIV/0!</v>
      </c>
      <c r="G224" s="511" t="e">
        <f t="shared" si="256"/>
        <v>#DIV/0!</v>
      </c>
      <c r="H224" s="511" t="e">
        <f t="shared" si="256"/>
        <v>#DIV/0!</v>
      </c>
      <c r="I224" s="511" t="e">
        <f t="shared" si="256"/>
        <v>#DIV/0!</v>
      </c>
      <c r="J224" s="511" t="e">
        <f t="shared" si="256"/>
        <v>#DIV/0!</v>
      </c>
      <c r="K224" s="511" t="e">
        <f t="shared" si="256"/>
        <v>#DIV/0!</v>
      </c>
      <c r="L224" s="511" t="e">
        <f t="shared" si="256"/>
        <v>#DIV/0!</v>
      </c>
      <c r="M224" s="511" t="e">
        <f t="shared" si="256"/>
        <v>#DIV/0!</v>
      </c>
      <c r="N224" s="511" t="e">
        <f t="shared" si="256"/>
        <v>#DIV/0!</v>
      </c>
    </row>
    <row r="225" spans="1:21" x14ac:dyDescent="0.3">
      <c r="A225" s="463">
        <v>8</v>
      </c>
      <c r="B225" s="477" t="str">
        <f>IF($A$18="","",(A18))</f>
        <v/>
      </c>
      <c r="C225" s="511" t="e">
        <f t="shared" ref="C225:N225" si="257">$C$213*C30</f>
        <v>#DIV/0!</v>
      </c>
      <c r="D225" s="511" t="e">
        <f t="shared" si="257"/>
        <v>#DIV/0!</v>
      </c>
      <c r="E225" s="511" t="e">
        <f t="shared" si="257"/>
        <v>#DIV/0!</v>
      </c>
      <c r="F225" s="511" t="e">
        <f t="shared" si="257"/>
        <v>#DIV/0!</v>
      </c>
      <c r="G225" s="511" t="e">
        <f t="shared" si="257"/>
        <v>#DIV/0!</v>
      </c>
      <c r="H225" s="511" t="e">
        <f t="shared" si="257"/>
        <v>#DIV/0!</v>
      </c>
      <c r="I225" s="511" t="e">
        <f t="shared" si="257"/>
        <v>#DIV/0!</v>
      </c>
      <c r="J225" s="511" t="e">
        <f t="shared" si="257"/>
        <v>#DIV/0!</v>
      </c>
      <c r="K225" s="511" t="e">
        <f t="shared" si="257"/>
        <v>#DIV/0!</v>
      </c>
      <c r="L225" s="511" t="e">
        <f t="shared" si="257"/>
        <v>#DIV/0!</v>
      </c>
      <c r="M225" s="511" t="e">
        <f t="shared" si="257"/>
        <v>#DIV/0!</v>
      </c>
      <c r="N225" s="511" t="e">
        <f t="shared" si="257"/>
        <v>#DIV/0!</v>
      </c>
    </row>
    <row r="226" spans="1:21" x14ac:dyDescent="0.3">
      <c r="A226" s="512"/>
      <c r="B226" s="512"/>
      <c r="C226" s="452"/>
      <c r="D226" s="452"/>
      <c r="E226" s="452"/>
      <c r="F226" s="452"/>
      <c r="G226" s="452"/>
      <c r="H226" s="452"/>
      <c r="I226" s="452"/>
      <c r="J226" s="452"/>
      <c r="K226" s="452"/>
      <c r="L226" s="452"/>
    </row>
    <row r="227" spans="1:21" ht="21" x14ac:dyDescent="0.3">
      <c r="A227" s="446" t="s">
        <v>980</v>
      </c>
      <c r="B227" s="446"/>
      <c r="C227" s="446"/>
      <c r="D227" s="447"/>
      <c r="O227" s="445" t="s">
        <v>104</v>
      </c>
    </row>
    <row r="228" spans="1:21" ht="21" x14ac:dyDescent="0.3">
      <c r="A228" s="574" t="s">
        <v>981</v>
      </c>
      <c r="B228" s="575"/>
      <c r="C228" s="513" t="str">
        <f>IF($B$4="","",SUM(C218:C225))</f>
        <v/>
      </c>
      <c r="D228" s="513" t="str">
        <f t="shared" ref="D228:N228" si="258">IF($B$4="","",SUM(D218:D225))</f>
        <v/>
      </c>
      <c r="E228" s="513" t="str">
        <f t="shared" si="258"/>
        <v/>
      </c>
      <c r="F228" s="513" t="str">
        <f t="shared" si="258"/>
        <v/>
      </c>
      <c r="G228" s="513" t="str">
        <f t="shared" si="258"/>
        <v/>
      </c>
      <c r="H228" s="513" t="str">
        <f t="shared" si="258"/>
        <v/>
      </c>
      <c r="I228" s="513" t="str">
        <f t="shared" si="258"/>
        <v/>
      </c>
      <c r="J228" s="513" t="str">
        <f t="shared" si="258"/>
        <v/>
      </c>
      <c r="K228" s="513" t="str">
        <f t="shared" si="258"/>
        <v/>
      </c>
      <c r="L228" s="513" t="str">
        <f t="shared" si="258"/>
        <v/>
      </c>
      <c r="M228" s="513" t="str">
        <f t="shared" si="258"/>
        <v/>
      </c>
      <c r="N228" s="513" t="str">
        <f t="shared" si="258"/>
        <v/>
      </c>
      <c r="O228" s="514">
        <f>SUM(C228:N228)</f>
        <v>0</v>
      </c>
      <c r="P228" s="515"/>
      <c r="Q228" s="515"/>
      <c r="R228" s="515"/>
      <c r="S228" s="515"/>
      <c r="T228" s="515"/>
      <c r="U228" s="515"/>
    </row>
    <row r="229" spans="1:21" x14ac:dyDescent="0.3">
      <c r="A229" s="516"/>
      <c r="B229" s="516"/>
      <c r="C229" s="517"/>
      <c r="D229" s="517"/>
      <c r="E229" s="517"/>
      <c r="F229" s="517"/>
      <c r="G229" s="517"/>
    </row>
  </sheetData>
  <mergeCells count="56">
    <mergeCell ref="A215:B215"/>
    <mergeCell ref="A216:A217"/>
    <mergeCell ref="B216:B217"/>
    <mergeCell ref="A228:B228"/>
    <mergeCell ref="M9:M10"/>
    <mergeCell ref="A203:B203"/>
    <mergeCell ref="A204:A205"/>
    <mergeCell ref="B204:B205"/>
    <mergeCell ref="C204:C205"/>
    <mergeCell ref="A32:C32"/>
    <mergeCell ref="A20:C20"/>
    <mergeCell ref="D20:N20"/>
    <mergeCell ref="A21:A22"/>
    <mergeCell ref="B21:B22"/>
    <mergeCell ref="A15:B15"/>
    <mergeCell ref="E15:F15"/>
    <mergeCell ref="H15:I15"/>
    <mergeCell ref="K15:L15"/>
    <mergeCell ref="A16:B16"/>
    <mergeCell ref="E16:F16"/>
    <mergeCell ref="H16:I16"/>
    <mergeCell ref="K16:L16"/>
    <mergeCell ref="A17:B17"/>
    <mergeCell ref="E17:F17"/>
    <mergeCell ref="H17:I17"/>
    <mergeCell ref="K17:L17"/>
    <mergeCell ref="A18:B18"/>
    <mergeCell ref="E18:F18"/>
    <mergeCell ref="H18:I18"/>
    <mergeCell ref="K18:L18"/>
    <mergeCell ref="A11:B11"/>
    <mergeCell ref="E11:F11"/>
    <mergeCell ref="H11:I11"/>
    <mergeCell ref="K11:L11"/>
    <mergeCell ref="A12:B12"/>
    <mergeCell ref="E12:F12"/>
    <mergeCell ref="H12:I12"/>
    <mergeCell ref="K12:L12"/>
    <mergeCell ref="A13:B13"/>
    <mergeCell ref="E13:F13"/>
    <mergeCell ref="H13:I13"/>
    <mergeCell ref="K13:L13"/>
    <mergeCell ref="A14:B14"/>
    <mergeCell ref="E14:F14"/>
    <mergeCell ref="H14:I14"/>
    <mergeCell ref="K14:L14"/>
    <mergeCell ref="A8:C8"/>
    <mergeCell ref="D8:L8"/>
    <mergeCell ref="A9:B10"/>
    <mergeCell ref="C9:C10"/>
    <mergeCell ref="D9:F9"/>
    <mergeCell ref="G9:G10"/>
    <mergeCell ref="H9:I10"/>
    <mergeCell ref="J9:J10"/>
    <mergeCell ref="K9:L10"/>
    <mergeCell ref="E10:F10"/>
  </mergeCells>
  <pageMargins left="0.7" right="0.7" top="0.75" bottom="0.75" header="0.3" footer="0.3"/>
  <pageSetup paperSize="9" orientation="portrait" r:id="rId1"/>
  <tableParts count="10">
    <tablePart r:id="rId2"/>
    <tablePart r:id="rId3"/>
    <tablePart r:id="rId4"/>
    <tablePart r:id="rId5"/>
    <tablePart r:id="rId6"/>
    <tablePart r:id="rId7"/>
    <tablePart r:id="rId8"/>
    <tablePart r:id="rId9"/>
    <tablePart r:id="rId10"/>
    <tablePart r:id="rId11"/>
  </tableParts>
  <extLst>
    <ext xmlns:x14="http://schemas.microsoft.com/office/spreadsheetml/2009/9/main" uri="{CCE6A557-97BC-4b89-ADB6-D9C93CAAB3DF}">
      <x14:dataValidations xmlns:xm="http://schemas.microsoft.com/office/excel/2006/main" count="1">
        <x14:dataValidation type="list" allowBlank="1" showInputMessage="1" showErrorMessage="1" xr:uid="{8584299B-D71D-47F2-A523-1E3E5952D2AE}">
          <x14:formula1>
            <xm:f>'Halimeda metrics'!$A$149:$A$151</xm:f>
          </x14:formula1>
          <xm:sqref>M11:M18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0" tint="-0.249977111117893"/>
  </sheetPr>
  <dimension ref="A1:AU241"/>
  <sheetViews>
    <sheetView topLeftCell="A22" zoomScale="70" zoomScaleNormal="70" workbookViewId="0">
      <pane xSplit="1" topLeftCell="B1" activePane="topRight" state="frozen"/>
      <selection pane="topRight" activeCell="B1" sqref="B1"/>
    </sheetView>
  </sheetViews>
  <sheetFormatPr defaultColWidth="9.28515625" defaultRowHeight="16.5" x14ac:dyDescent="0.3"/>
  <cols>
    <col min="1" max="1" width="41.5703125" style="41" customWidth="1"/>
    <col min="2" max="2" width="22.42578125" style="3" customWidth="1"/>
    <col min="3" max="3" width="26" style="12" customWidth="1"/>
    <col min="4" max="4" width="17.7109375" style="3" customWidth="1"/>
    <col min="5" max="5" width="16.28515625" style="37" customWidth="1"/>
    <col min="6" max="6" width="23.42578125" style="37" customWidth="1"/>
    <col min="7" max="7" width="26.42578125" style="25" customWidth="1"/>
    <col min="8" max="8" width="8.85546875" style="25" customWidth="1"/>
    <col min="9" max="9" width="6.7109375" style="25" customWidth="1"/>
    <col min="10" max="10" width="21.28515625" style="26" customWidth="1"/>
    <col min="11" max="11" width="64" style="40" customWidth="1"/>
    <col min="12" max="12" width="7.7109375" style="25" customWidth="1"/>
    <col min="13" max="13" width="6.85546875" style="124" customWidth="1"/>
    <col min="14" max="15" width="22.28515625" style="27" customWidth="1"/>
    <col min="16" max="16" width="20" style="27" customWidth="1"/>
    <col min="17" max="17" width="14.28515625" style="30" customWidth="1"/>
    <col min="18" max="18" width="5.42578125" style="3" customWidth="1"/>
    <col min="19" max="19" width="5.7109375" style="3" customWidth="1"/>
    <col min="20" max="23" width="18.7109375" style="72" customWidth="1"/>
    <col min="24" max="26" width="18.7109375" style="28" customWidth="1"/>
    <col min="27" max="27" width="21.28515625" style="28" customWidth="1"/>
    <col min="28" max="28" width="18.28515625" style="28" customWidth="1"/>
    <col min="29" max="29" width="19.42578125" style="28" customWidth="1"/>
    <col min="30" max="30" width="19.28515625" style="28" customWidth="1"/>
    <col min="31" max="31" width="19.42578125" style="28" customWidth="1"/>
    <col min="32" max="32" width="62" style="3" customWidth="1"/>
    <col min="33" max="36" width="9.28515625" style="3"/>
    <col min="37" max="37" width="12.7109375" style="22" customWidth="1"/>
    <col min="38" max="16384" width="9.28515625" style="3"/>
  </cols>
  <sheetData>
    <row r="1" spans="1:38" ht="20.25" x14ac:dyDescent="0.3">
      <c r="A1" s="196" t="s">
        <v>170</v>
      </c>
      <c r="E1" s="25"/>
      <c r="F1" s="25"/>
    </row>
    <row r="2" spans="1:38" x14ac:dyDescent="0.3">
      <c r="A2" s="63"/>
      <c r="E2" s="25"/>
      <c r="F2" s="25"/>
      <c r="T2" s="636"/>
      <c r="U2" s="636"/>
      <c r="V2" s="636"/>
      <c r="W2" s="636"/>
      <c r="X2" s="636"/>
      <c r="Y2" s="636"/>
      <c r="Z2" s="636"/>
      <c r="AA2" s="636"/>
      <c r="AB2" s="636"/>
      <c r="AC2" s="636"/>
      <c r="AD2" s="636"/>
      <c r="AE2" s="636"/>
    </row>
    <row r="3" spans="1:38" x14ac:dyDescent="0.3">
      <c r="E3" s="25"/>
      <c r="F3" s="25"/>
      <c r="J3" s="624"/>
      <c r="K3" s="624"/>
      <c r="L3" s="624"/>
      <c r="N3" s="12"/>
      <c r="O3" s="12"/>
      <c r="P3" s="12"/>
      <c r="T3" s="28"/>
      <c r="U3" s="28"/>
      <c r="V3" s="75"/>
      <c r="W3" s="28"/>
    </row>
    <row r="4" spans="1:38" x14ac:dyDescent="0.3">
      <c r="A4" s="48" t="s">
        <v>990</v>
      </c>
      <c r="B4" s="48" t="s">
        <v>172</v>
      </c>
      <c r="C4" s="48" t="s">
        <v>173</v>
      </c>
      <c r="D4" s="635" t="s">
        <v>174</v>
      </c>
      <c r="E4" s="635"/>
      <c r="F4" s="635"/>
      <c r="G4" s="637" t="s">
        <v>175</v>
      </c>
      <c r="H4" s="638"/>
      <c r="I4" s="65"/>
      <c r="J4" s="605" t="s">
        <v>176</v>
      </c>
      <c r="K4" s="605"/>
      <c r="L4" s="45"/>
      <c r="M4" s="125"/>
      <c r="N4" s="126"/>
      <c r="O4" s="126"/>
      <c r="P4" s="73"/>
      <c r="Q4" s="73"/>
      <c r="R4" s="127"/>
      <c r="S4" s="73"/>
      <c r="T4" s="3"/>
      <c r="U4" s="28"/>
      <c r="V4" s="28"/>
      <c r="W4" s="28"/>
      <c r="AF4" s="28"/>
      <c r="AK4" s="3"/>
      <c r="AL4" s="22"/>
    </row>
    <row r="5" spans="1:38" x14ac:dyDescent="0.3">
      <c r="A5" s="64" t="s">
        <v>177</v>
      </c>
      <c r="B5" s="8" t="s">
        <v>178</v>
      </c>
      <c r="C5" s="112" t="s">
        <v>179</v>
      </c>
      <c r="D5" s="625" t="s">
        <v>180</v>
      </c>
      <c r="E5" s="625"/>
      <c r="F5" s="625"/>
      <c r="G5" s="615" t="s">
        <v>181</v>
      </c>
      <c r="H5" s="617"/>
      <c r="I5" s="65"/>
      <c r="J5" s="604" t="s">
        <v>182</v>
      </c>
      <c r="K5" s="604"/>
      <c r="M5" s="22"/>
      <c r="N5" s="70"/>
      <c r="O5" s="70"/>
      <c r="Q5" s="27"/>
      <c r="R5" s="30"/>
      <c r="T5" s="3"/>
      <c r="X5" s="72"/>
      <c r="AF5" s="28"/>
      <c r="AK5" s="3"/>
      <c r="AL5" s="22"/>
    </row>
    <row r="6" spans="1:38" x14ac:dyDescent="0.3">
      <c r="A6" s="64" t="s">
        <v>183</v>
      </c>
      <c r="B6" s="8" t="s">
        <v>178</v>
      </c>
      <c r="C6" s="112" t="s">
        <v>179</v>
      </c>
      <c r="D6" s="625" t="s">
        <v>184</v>
      </c>
      <c r="E6" s="625"/>
      <c r="F6" s="625"/>
      <c r="G6" s="615" t="s">
        <v>185</v>
      </c>
      <c r="H6" s="617"/>
      <c r="I6" s="65"/>
      <c r="J6" s="604" t="s">
        <v>186</v>
      </c>
      <c r="K6" s="604"/>
      <c r="M6" s="22"/>
      <c r="N6" s="70"/>
      <c r="O6" s="70"/>
      <c r="Q6" s="27"/>
      <c r="R6" s="30"/>
      <c r="T6" s="3"/>
      <c r="X6" s="72"/>
      <c r="AF6" s="28"/>
      <c r="AK6" s="3"/>
      <c r="AL6" s="22"/>
    </row>
    <row r="7" spans="1:38" ht="12.6" customHeight="1" x14ac:dyDescent="0.3">
      <c r="A7" s="64" t="s">
        <v>187</v>
      </c>
      <c r="B7" s="8" t="s">
        <v>178</v>
      </c>
      <c r="C7" s="112" t="s">
        <v>188</v>
      </c>
      <c r="D7" s="625" t="s">
        <v>189</v>
      </c>
      <c r="E7" s="625"/>
      <c r="F7" s="625"/>
      <c r="G7" s="615" t="s">
        <v>190</v>
      </c>
      <c r="H7" s="617"/>
      <c r="I7" s="65"/>
      <c r="J7" s="67" t="s">
        <v>186</v>
      </c>
      <c r="K7" s="67"/>
      <c r="L7" s="31"/>
      <c r="M7" s="89"/>
      <c r="N7" s="70"/>
      <c r="O7" s="70"/>
      <c r="P7" s="4"/>
      <c r="Q7" s="4"/>
      <c r="R7" s="30"/>
      <c r="S7" s="33"/>
      <c r="T7" s="33"/>
      <c r="W7" s="28"/>
      <c r="AF7" s="28"/>
      <c r="AK7" s="3"/>
      <c r="AL7" s="22"/>
    </row>
    <row r="8" spans="1:38" ht="13.7" customHeight="1" x14ac:dyDescent="0.3">
      <c r="A8" s="64" t="s">
        <v>191</v>
      </c>
      <c r="B8" s="8" t="s">
        <v>192</v>
      </c>
      <c r="C8" s="112" t="s">
        <v>179</v>
      </c>
      <c r="D8" s="634" t="s">
        <v>193</v>
      </c>
      <c r="E8" s="634"/>
      <c r="F8" s="634"/>
      <c r="G8" s="615" t="s">
        <v>194</v>
      </c>
      <c r="H8" s="617"/>
      <c r="I8" s="65"/>
      <c r="J8" s="604" t="s">
        <v>194</v>
      </c>
      <c r="K8" s="604"/>
      <c r="L8" s="31"/>
      <c r="M8" s="89"/>
      <c r="N8" s="70"/>
      <c r="O8" s="70"/>
      <c r="P8" s="4"/>
      <c r="Q8" s="4"/>
      <c r="R8" s="30"/>
      <c r="S8" s="33"/>
      <c r="T8" s="33"/>
      <c r="W8" s="28"/>
      <c r="AF8" s="28"/>
      <c r="AK8" s="3"/>
      <c r="AL8" s="22"/>
    </row>
    <row r="9" spans="1:38" ht="13.7" customHeight="1" x14ac:dyDescent="0.3">
      <c r="A9" s="64" t="s">
        <v>195</v>
      </c>
      <c r="B9" s="8" t="s">
        <v>196</v>
      </c>
      <c r="C9" s="67" t="s">
        <v>197</v>
      </c>
      <c r="D9" s="634" t="s">
        <v>198</v>
      </c>
      <c r="E9" s="634"/>
      <c r="F9" s="634"/>
      <c r="G9" s="615" t="s">
        <v>199</v>
      </c>
      <c r="H9" s="617"/>
      <c r="I9" s="65"/>
      <c r="J9" s="603" t="s">
        <v>200</v>
      </c>
      <c r="K9" s="603"/>
      <c r="L9" s="31"/>
      <c r="M9" s="89"/>
      <c r="N9" s="70"/>
      <c r="O9" s="70"/>
      <c r="P9" s="4"/>
      <c r="Q9" s="4"/>
      <c r="R9" s="30"/>
      <c r="S9" s="33"/>
      <c r="T9" s="33"/>
      <c r="W9" s="28"/>
      <c r="AF9" s="28"/>
      <c r="AK9" s="3"/>
      <c r="AL9" s="22"/>
    </row>
    <row r="10" spans="1:38" x14ac:dyDescent="0.3">
      <c r="A10" s="64" t="s">
        <v>201</v>
      </c>
      <c r="B10" s="8" t="s">
        <v>192</v>
      </c>
      <c r="C10" s="112" t="s">
        <v>202</v>
      </c>
      <c r="D10" s="634" t="s">
        <v>203</v>
      </c>
      <c r="E10" s="634"/>
      <c r="F10" s="634"/>
      <c r="G10" s="615" t="s">
        <v>204</v>
      </c>
      <c r="H10" s="617"/>
      <c r="I10" s="65"/>
      <c r="J10" s="604" t="s">
        <v>204</v>
      </c>
      <c r="K10" s="604"/>
      <c r="L10" s="31"/>
      <c r="M10" s="89"/>
      <c r="N10" s="70"/>
      <c r="O10" s="70"/>
      <c r="P10" s="4"/>
      <c r="Q10" s="4"/>
      <c r="R10" s="30"/>
      <c r="S10" s="33"/>
      <c r="T10" s="33"/>
      <c r="W10" s="28"/>
      <c r="AF10" s="28"/>
      <c r="AK10" s="3"/>
      <c r="AL10" s="22"/>
    </row>
    <row r="11" spans="1:38" x14ac:dyDescent="0.3">
      <c r="A11" s="64" t="s">
        <v>205</v>
      </c>
      <c r="B11" s="8" t="s">
        <v>196</v>
      </c>
      <c r="C11" s="67" t="s">
        <v>206</v>
      </c>
      <c r="D11" s="634" t="s">
        <v>207</v>
      </c>
      <c r="E11" s="634"/>
      <c r="F11" s="634"/>
      <c r="G11" s="615" t="s">
        <v>208</v>
      </c>
      <c r="H11" s="617"/>
      <c r="I11" s="65"/>
      <c r="J11" s="603" t="s">
        <v>200</v>
      </c>
      <c r="K11" s="603"/>
      <c r="L11" s="31"/>
      <c r="M11" s="89"/>
      <c r="N11" s="70"/>
      <c r="O11" s="70"/>
      <c r="P11" s="4"/>
      <c r="Q11" s="4"/>
      <c r="R11" s="30"/>
      <c r="S11" s="33"/>
      <c r="T11" s="33"/>
      <c r="W11" s="28"/>
      <c r="AF11" s="28"/>
      <c r="AK11" s="3"/>
      <c r="AL11" s="22"/>
    </row>
    <row r="12" spans="1:38" x14ac:dyDescent="0.3">
      <c r="A12" s="64" t="s">
        <v>209</v>
      </c>
      <c r="B12" s="8" t="s">
        <v>210</v>
      </c>
      <c r="C12" s="67" t="s">
        <v>188</v>
      </c>
      <c r="D12" s="634" t="s">
        <v>211</v>
      </c>
      <c r="E12" s="634"/>
      <c r="F12" s="634"/>
      <c r="G12" s="615" t="s">
        <v>212</v>
      </c>
      <c r="H12" s="617"/>
      <c r="I12" s="65"/>
      <c r="J12" s="603" t="s">
        <v>200</v>
      </c>
      <c r="K12" s="603"/>
      <c r="L12" s="31"/>
      <c r="M12" s="89"/>
      <c r="N12" s="70"/>
      <c r="O12" s="70"/>
      <c r="P12" s="4"/>
      <c r="Q12" s="4"/>
      <c r="R12" s="30"/>
      <c r="S12" s="33"/>
      <c r="T12" s="33"/>
      <c r="W12" s="28"/>
      <c r="AF12" s="28"/>
      <c r="AK12" s="3"/>
      <c r="AL12" s="11"/>
    </row>
    <row r="13" spans="1:38" x14ac:dyDescent="0.3">
      <c r="A13" s="64" t="s">
        <v>213</v>
      </c>
      <c r="B13" s="8" t="s">
        <v>214</v>
      </c>
      <c r="C13" s="67" t="s">
        <v>179</v>
      </c>
      <c r="D13" s="634" t="s">
        <v>215</v>
      </c>
      <c r="E13" s="634"/>
      <c r="F13" s="634"/>
      <c r="G13" s="615" t="s">
        <v>216</v>
      </c>
      <c r="H13" s="617"/>
      <c r="I13" s="65"/>
      <c r="J13" s="603"/>
      <c r="K13" s="603"/>
      <c r="L13" s="27"/>
      <c r="M13" s="89"/>
      <c r="N13" s="70"/>
      <c r="O13" s="70"/>
      <c r="P13" s="4"/>
      <c r="Q13" s="4"/>
      <c r="R13" s="30"/>
      <c r="S13" s="33"/>
      <c r="T13" s="33"/>
      <c r="W13" s="28"/>
      <c r="AF13" s="28"/>
      <c r="AG13" s="27"/>
      <c r="AK13" s="3"/>
      <c r="AL13" s="11"/>
    </row>
    <row r="14" spans="1:38" x14ac:dyDescent="0.3">
      <c r="A14" s="64" t="s">
        <v>217</v>
      </c>
      <c r="B14" s="8" t="s">
        <v>192</v>
      </c>
      <c r="C14" s="67" t="s">
        <v>218</v>
      </c>
      <c r="D14" s="634" t="s">
        <v>219</v>
      </c>
      <c r="E14" s="634"/>
      <c r="F14" s="634"/>
      <c r="G14" s="615" t="s">
        <v>220</v>
      </c>
      <c r="H14" s="617"/>
      <c r="I14" s="65"/>
      <c r="J14" s="604" t="s">
        <v>186</v>
      </c>
      <c r="K14" s="604"/>
      <c r="L14" s="31"/>
      <c r="M14" s="89"/>
      <c r="N14" s="70"/>
      <c r="O14" s="70"/>
      <c r="P14" s="3"/>
      <c r="Q14" s="4"/>
      <c r="R14" s="30"/>
      <c r="T14" s="33"/>
      <c r="W14" s="28"/>
      <c r="AF14" s="28"/>
      <c r="AK14" s="3"/>
      <c r="AL14" s="11"/>
    </row>
    <row r="15" spans="1:38" x14ac:dyDescent="0.3">
      <c r="A15" s="64" t="s">
        <v>221</v>
      </c>
      <c r="B15" s="8" t="s">
        <v>178</v>
      </c>
      <c r="C15" s="67" t="s">
        <v>197</v>
      </c>
      <c r="D15" s="634" t="s">
        <v>222</v>
      </c>
      <c r="E15" s="634"/>
      <c r="F15" s="634"/>
      <c r="G15" s="615" t="s">
        <v>223</v>
      </c>
      <c r="H15" s="617"/>
      <c r="I15" s="65"/>
      <c r="J15" s="604" t="s">
        <v>186</v>
      </c>
      <c r="K15" s="604"/>
      <c r="L15" s="31"/>
      <c r="M15" s="89"/>
      <c r="N15" s="70"/>
      <c r="O15" s="70"/>
      <c r="Q15" s="4"/>
      <c r="R15" s="30"/>
      <c r="S15" s="33"/>
      <c r="T15" s="33"/>
      <c r="W15" s="28"/>
      <c r="AF15" s="28"/>
      <c r="AK15" s="3"/>
      <c r="AL15" s="11"/>
    </row>
    <row r="16" spans="1:38" x14ac:dyDescent="0.3">
      <c r="A16" s="64" t="s">
        <v>224</v>
      </c>
      <c r="B16" s="8" t="s">
        <v>196</v>
      </c>
      <c r="C16" s="67" t="s">
        <v>179</v>
      </c>
      <c r="D16" s="634" t="s">
        <v>225</v>
      </c>
      <c r="E16" s="634"/>
      <c r="F16" s="634"/>
      <c r="G16" s="615" t="s">
        <v>226</v>
      </c>
      <c r="H16" s="617"/>
      <c r="I16" s="65"/>
      <c r="J16" s="604" t="s">
        <v>227</v>
      </c>
      <c r="K16" s="604"/>
      <c r="L16" s="31"/>
      <c r="M16" s="89"/>
      <c r="N16" s="70"/>
      <c r="O16" s="70"/>
      <c r="Q16" s="4"/>
      <c r="R16" s="30"/>
      <c r="S16" s="33"/>
      <c r="T16" s="33"/>
      <c r="W16" s="28"/>
      <c r="AF16" s="28"/>
      <c r="AK16" s="3"/>
      <c r="AL16" s="11"/>
    </row>
    <row r="17" spans="1:38" x14ac:dyDescent="0.3">
      <c r="A17" s="64" t="s">
        <v>228</v>
      </c>
      <c r="B17" s="8" t="s">
        <v>214</v>
      </c>
      <c r="C17" s="67" t="s">
        <v>218</v>
      </c>
      <c r="D17" s="634" t="s">
        <v>229</v>
      </c>
      <c r="E17" s="634"/>
      <c r="F17" s="634"/>
      <c r="G17" s="615" t="s">
        <v>230</v>
      </c>
      <c r="H17" s="617"/>
      <c r="I17" s="65"/>
      <c r="J17" s="604" t="s">
        <v>231</v>
      </c>
      <c r="K17" s="604"/>
      <c r="L17" s="31"/>
      <c r="M17" s="89"/>
      <c r="N17" s="70"/>
      <c r="O17" s="70"/>
      <c r="Q17" s="4"/>
      <c r="R17" s="30"/>
      <c r="S17" s="33"/>
      <c r="T17" s="33"/>
      <c r="W17" s="28"/>
      <c r="AF17" s="28"/>
      <c r="AK17" s="3"/>
      <c r="AL17" s="11"/>
    </row>
    <row r="18" spans="1:38" x14ac:dyDescent="0.3">
      <c r="A18" s="64" t="s">
        <v>232</v>
      </c>
      <c r="B18" s="8" t="s">
        <v>178</v>
      </c>
      <c r="C18" s="67" t="s">
        <v>197</v>
      </c>
      <c r="D18" s="634" t="s">
        <v>233</v>
      </c>
      <c r="E18" s="634"/>
      <c r="F18" s="634"/>
      <c r="G18" s="615" t="s">
        <v>234</v>
      </c>
      <c r="H18" s="617"/>
      <c r="I18" s="65"/>
      <c r="J18" s="604" t="s">
        <v>186</v>
      </c>
      <c r="K18" s="604"/>
      <c r="L18" s="31"/>
      <c r="M18" s="89"/>
      <c r="N18" s="70"/>
      <c r="O18" s="70"/>
      <c r="Q18" s="4"/>
      <c r="R18" s="30"/>
      <c r="S18" s="33"/>
      <c r="T18" s="33"/>
      <c r="W18" s="28"/>
      <c r="AF18" s="28"/>
      <c r="AK18" s="3"/>
      <c r="AL18" s="11"/>
    </row>
    <row r="19" spans="1:38" x14ac:dyDescent="0.3">
      <c r="A19" s="64" t="s">
        <v>235</v>
      </c>
      <c r="B19" s="8" t="s">
        <v>196</v>
      </c>
      <c r="C19" s="67" t="s">
        <v>179</v>
      </c>
      <c r="D19" s="634" t="s">
        <v>236</v>
      </c>
      <c r="E19" s="634"/>
      <c r="F19" s="634"/>
      <c r="G19" s="615" t="s">
        <v>237</v>
      </c>
      <c r="H19" s="617"/>
      <c r="I19" s="65"/>
      <c r="J19" s="603" t="s">
        <v>200</v>
      </c>
      <c r="K19" s="603"/>
      <c r="L19" s="31"/>
      <c r="M19" s="89"/>
      <c r="N19" s="70"/>
      <c r="O19" s="70"/>
      <c r="Q19" s="4"/>
      <c r="R19" s="30"/>
      <c r="T19" s="33"/>
      <c r="W19" s="28"/>
      <c r="AF19" s="28"/>
      <c r="AK19" s="3"/>
      <c r="AL19" s="11"/>
    </row>
    <row r="20" spans="1:38" x14ac:dyDescent="0.3">
      <c r="A20" s="64" t="s">
        <v>238</v>
      </c>
      <c r="B20" s="8" t="s">
        <v>192</v>
      </c>
      <c r="C20" s="67" t="s">
        <v>197</v>
      </c>
      <c r="D20" s="634" t="s">
        <v>239</v>
      </c>
      <c r="E20" s="634"/>
      <c r="F20" s="634"/>
      <c r="G20" s="615" t="s">
        <v>240</v>
      </c>
      <c r="H20" s="617"/>
      <c r="I20" s="65"/>
      <c r="J20" s="603" t="s">
        <v>200</v>
      </c>
      <c r="K20" s="603"/>
      <c r="L20" s="31"/>
      <c r="M20" s="89"/>
      <c r="N20" s="70"/>
      <c r="O20" s="70"/>
      <c r="Q20" s="4"/>
      <c r="R20" s="30"/>
      <c r="S20" s="33"/>
      <c r="T20" s="33"/>
      <c r="W20" s="28"/>
      <c r="AF20" s="28"/>
      <c r="AK20" s="3"/>
      <c r="AL20" s="11"/>
    </row>
    <row r="21" spans="1:38" x14ac:dyDescent="0.3">
      <c r="A21" s="64" t="s">
        <v>241</v>
      </c>
      <c r="B21" s="8" t="s">
        <v>178</v>
      </c>
      <c r="C21" s="67" t="s">
        <v>242</v>
      </c>
      <c r="D21" s="634" t="s">
        <v>243</v>
      </c>
      <c r="E21" s="634"/>
      <c r="F21" s="634"/>
      <c r="G21" s="615" t="s">
        <v>244</v>
      </c>
      <c r="H21" s="617"/>
      <c r="I21" s="65"/>
      <c r="J21" s="604" t="s">
        <v>245</v>
      </c>
      <c r="K21" s="604"/>
      <c r="L21" s="31"/>
      <c r="M21" s="89"/>
      <c r="N21" s="70"/>
      <c r="O21" s="70"/>
      <c r="P21" s="4"/>
      <c r="Q21" s="4"/>
      <c r="R21" s="30"/>
      <c r="S21" s="33"/>
      <c r="T21" s="33"/>
      <c r="W21" s="28"/>
      <c r="AF21" s="28"/>
      <c r="AK21" s="3"/>
      <c r="AL21" s="22"/>
    </row>
    <row r="22" spans="1:38" x14ac:dyDescent="0.3">
      <c r="A22" s="64" t="s">
        <v>246</v>
      </c>
      <c r="B22" s="8" t="s">
        <v>214</v>
      </c>
      <c r="C22" s="67" t="s">
        <v>218</v>
      </c>
      <c r="D22" s="634" t="s">
        <v>247</v>
      </c>
      <c r="E22" s="634"/>
      <c r="F22" s="634"/>
      <c r="G22" s="615" t="s">
        <v>248</v>
      </c>
      <c r="H22" s="617"/>
      <c r="I22" s="65"/>
      <c r="J22" s="604" t="s">
        <v>186</v>
      </c>
      <c r="K22" s="604"/>
      <c r="L22" s="31"/>
      <c r="M22" s="89"/>
      <c r="N22" s="70"/>
      <c r="O22" s="70"/>
      <c r="P22" s="4"/>
      <c r="Q22" s="4"/>
      <c r="R22" s="30"/>
      <c r="S22" s="33"/>
      <c r="T22" s="33"/>
      <c r="W22" s="28"/>
      <c r="AF22" s="28"/>
      <c r="AK22" s="3"/>
      <c r="AL22" s="22"/>
    </row>
    <row r="23" spans="1:38" x14ac:dyDescent="0.3">
      <c r="A23" s="64" t="s">
        <v>249</v>
      </c>
      <c r="B23" s="8" t="s">
        <v>250</v>
      </c>
      <c r="C23" s="67" t="s">
        <v>251</v>
      </c>
      <c r="D23" s="634" t="s">
        <v>252</v>
      </c>
      <c r="E23" s="634"/>
      <c r="F23" s="634"/>
      <c r="G23" s="615" t="s">
        <v>248</v>
      </c>
      <c r="H23" s="617"/>
      <c r="I23" s="65"/>
      <c r="J23" s="603" t="s">
        <v>200</v>
      </c>
      <c r="K23" s="603"/>
      <c r="L23" s="31"/>
      <c r="M23" s="89"/>
      <c r="N23" s="70"/>
      <c r="O23" s="70"/>
      <c r="P23" s="4"/>
      <c r="Q23" s="4"/>
      <c r="R23" s="30"/>
      <c r="S23" s="33"/>
      <c r="T23" s="33"/>
      <c r="W23" s="28"/>
      <c r="AF23" s="28"/>
      <c r="AK23" s="3"/>
      <c r="AL23" s="22"/>
    </row>
    <row r="24" spans="1:38" x14ac:dyDescent="0.3">
      <c r="A24" s="64" t="s">
        <v>253</v>
      </c>
      <c r="B24" s="8" t="s">
        <v>196</v>
      </c>
      <c r="C24" s="67" t="s">
        <v>251</v>
      </c>
      <c r="D24" s="634" t="s">
        <v>254</v>
      </c>
      <c r="E24" s="634"/>
      <c r="F24" s="634"/>
      <c r="G24" s="615" t="s">
        <v>248</v>
      </c>
      <c r="H24" s="617"/>
      <c r="I24" s="65"/>
      <c r="J24" s="603" t="s">
        <v>200</v>
      </c>
      <c r="K24" s="603"/>
      <c r="L24" s="31"/>
      <c r="M24" s="89"/>
      <c r="N24" s="70"/>
      <c r="O24" s="70"/>
      <c r="P24" s="4"/>
      <c r="Q24" s="4"/>
      <c r="R24" s="30"/>
      <c r="S24" s="33"/>
      <c r="T24" s="33"/>
      <c r="W24" s="28"/>
      <c r="AF24" s="28"/>
      <c r="AK24" s="3"/>
      <c r="AL24" s="22"/>
    </row>
    <row r="25" spans="1:38" x14ac:dyDescent="0.3">
      <c r="A25" s="64" t="s">
        <v>255</v>
      </c>
      <c r="B25" s="8" t="s">
        <v>192</v>
      </c>
      <c r="C25" s="67" t="s">
        <v>179</v>
      </c>
      <c r="D25" s="634" t="s">
        <v>256</v>
      </c>
      <c r="E25" s="634"/>
      <c r="F25" s="634"/>
      <c r="G25" s="615" t="s">
        <v>257</v>
      </c>
      <c r="H25" s="617"/>
      <c r="I25" s="65"/>
      <c r="J25" s="603"/>
      <c r="K25" s="603"/>
      <c r="L25" s="31"/>
      <c r="M25" s="89"/>
      <c r="N25" s="70"/>
      <c r="O25" s="70"/>
      <c r="P25" s="3"/>
      <c r="Q25" s="4"/>
      <c r="R25" s="30"/>
      <c r="T25" s="33"/>
      <c r="W25" s="28"/>
      <c r="AF25" s="28"/>
      <c r="AK25" s="3"/>
      <c r="AL25" s="22"/>
    </row>
    <row r="26" spans="1:38" x14ac:dyDescent="0.3">
      <c r="A26" s="64" t="s">
        <v>258</v>
      </c>
      <c r="B26" s="8" t="s">
        <v>259</v>
      </c>
      <c r="C26" s="67" t="s">
        <v>179</v>
      </c>
      <c r="D26" s="634" t="s">
        <v>260</v>
      </c>
      <c r="E26" s="634"/>
      <c r="F26" s="634"/>
      <c r="G26" s="615"/>
      <c r="H26" s="617"/>
      <c r="I26" s="65"/>
      <c r="J26" s="603"/>
      <c r="K26" s="603"/>
      <c r="L26" s="31"/>
      <c r="M26" s="89"/>
      <c r="N26" s="70"/>
      <c r="O26" s="70"/>
      <c r="P26" s="4"/>
      <c r="Q26" s="4"/>
      <c r="R26" s="30"/>
      <c r="S26" s="33"/>
      <c r="T26" s="33"/>
      <c r="W26" s="28"/>
      <c r="AF26" s="28"/>
      <c r="AK26" s="3"/>
      <c r="AL26" s="22"/>
    </row>
    <row r="27" spans="1:38" x14ac:dyDescent="0.3">
      <c r="A27" s="64" t="s">
        <v>261</v>
      </c>
      <c r="B27" s="8" t="s">
        <v>262</v>
      </c>
      <c r="C27" s="67" t="s">
        <v>197</v>
      </c>
      <c r="D27" s="634" t="s">
        <v>263</v>
      </c>
      <c r="E27" s="634"/>
      <c r="F27" s="634"/>
      <c r="G27" s="615" t="s">
        <v>264</v>
      </c>
      <c r="H27" s="617"/>
      <c r="I27" s="65"/>
      <c r="J27" s="603" t="s">
        <v>200</v>
      </c>
      <c r="K27" s="603"/>
      <c r="L27" s="31"/>
      <c r="M27" s="89"/>
      <c r="N27" s="70"/>
      <c r="O27" s="70"/>
      <c r="P27" s="4"/>
      <c r="Q27" s="4"/>
      <c r="R27" s="30"/>
      <c r="S27" s="33"/>
      <c r="T27" s="33"/>
      <c r="W27" s="28"/>
      <c r="AF27" s="28"/>
      <c r="AJ27" s="11"/>
      <c r="AK27" s="3"/>
      <c r="AL27" s="22"/>
    </row>
    <row r="28" spans="1:38" x14ac:dyDescent="0.3">
      <c r="A28" s="64" t="s">
        <v>265</v>
      </c>
      <c r="B28" s="8" t="s">
        <v>214</v>
      </c>
      <c r="C28" s="67" t="s">
        <v>179</v>
      </c>
      <c r="D28" s="634" t="s">
        <v>266</v>
      </c>
      <c r="E28" s="634"/>
      <c r="F28" s="634"/>
      <c r="G28" s="615" t="s">
        <v>267</v>
      </c>
      <c r="H28" s="617"/>
      <c r="I28" s="65"/>
      <c r="J28" s="603" t="s">
        <v>200</v>
      </c>
      <c r="K28" s="603"/>
      <c r="L28" s="31"/>
      <c r="M28" s="89"/>
      <c r="N28" s="70"/>
      <c r="O28" s="70"/>
      <c r="P28" s="32"/>
      <c r="Q28" s="32"/>
      <c r="R28" s="30"/>
      <c r="S28" s="4"/>
      <c r="T28" s="4"/>
      <c r="X28" s="72"/>
      <c r="AF28" s="28"/>
      <c r="AJ28" s="11"/>
      <c r="AK28" s="3"/>
      <c r="AL28" s="22"/>
    </row>
    <row r="29" spans="1:38" x14ac:dyDescent="0.3">
      <c r="A29" s="64" t="s">
        <v>268</v>
      </c>
      <c r="B29" s="8" t="s">
        <v>192</v>
      </c>
      <c r="C29" s="112" t="s">
        <v>269</v>
      </c>
      <c r="D29" s="625" t="s">
        <v>270</v>
      </c>
      <c r="E29" s="625"/>
      <c r="F29" s="625"/>
      <c r="G29" s="615" t="s">
        <v>271</v>
      </c>
      <c r="H29" s="617"/>
      <c r="I29" s="65"/>
      <c r="J29" s="604" t="s">
        <v>271</v>
      </c>
      <c r="K29" s="604"/>
      <c r="L29" s="31"/>
      <c r="M29" s="89"/>
      <c r="N29" s="70"/>
      <c r="O29" s="70"/>
      <c r="P29" s="32"/>
      <c r="Q29" s="32"/>
      <c r="R29" s="30"/>
      <c r="S29" s="4"/>
      <c r="T29" s="4"/>
      <c r="X29" s="72"/>
      <c r="AF29" s="28"/>
      <c r="AJ29" s="11"/>
      <c r="AK29" s="3"/>
      <c r="AL29" s="22"/>
    </row>
    <row r="30" spans="1:38" x14ac:dyDescent="0.3">
      <c r="A30" s="64" t="s">
        <v>272</v>
      </c>
      <c r="B30" s="8" t="s">
        <v>214</v>
      </c>
      <c r="C30" s="112" t="s">
        <v>179</v>
      </c>
      <c r="D30" s="625" t="s">
        <v>273</v>
      </c>
      <c r="E30" s="625"/>
      <c r="F30" s="625"/>
      <c r="G30" s="615" t="s">
        <v>274</v>
      </c>
      <c r="H30" s="617"/>
      <c r="I30" s="65"/>
      <c r="J30" s="604" t="s">
        <v>186</v>
      </c>
      <c r="K30" s="604"/>
      <c r="L30" s="31"/>
      <c r="M30" s="89"/>
      <c r="N30" s="70"/>
      <c r="O30" s="70"/>
      <c r="P30" s="32"/>
      <c r="Q30" s="32"/>
      <c r="R30" s="30"/>
      <c r="S30" s="4"/>
      <c r="T30" s="4"/>
      <c r="X30" s="72"/>
      <c r="AF30" s="28"/>
      <c r="AJ30" s="11"/>
      <c r="AK30" s="3"/>
      <c r="AL30" s="22"/>
    </row>
    <row r="31" spans="1:38" x14ac:dyDescent="0.3">
      <c r="A31" s="64" t="s">
        <v>275</v>
      </c>
      <c r="B31" s="8" t="s">
        <v>214</v>
      </c>
      <c r="C31" s="112" t="s">
        <v>218</v>
      </c>
      <c r="D31" s="625" t="s">
        <v>276</v>
      </c>
      <c r="E31" s="625"/>
      <c r="F31" s="625"/>
      <c r="G31" s="615" t="s">
        <v>277</v>
      </c>
      <c r="H31" s="617"/>
      <c r="I31" s="65"/>
      <c r="J31" s="603"/>
      <c r="K31" s="603"/>
      <c r="L31" s="27"/>
      <c r="M31" s="89"/>
      <c r="N31" s="70"/>
      <c r="O31" s="70"/>
      <c r="Q31" s="32"/>
      <c r="R31" s="30"/>
      <c r="S31" s="27"/>
      <c r="T31" s="4"/>
      <c r="X31" s="72"/>
      <c r="AF31" s="28"/>
      <c r="AG31" s="27"/>
      <c r="AJ31" s="11"/>
      <c r="AK31" s="3"/>
      <c r="AL31" s="22"/>
    </row>
    <row r="32" spans="1:38" x14ac:dyDescent="0.3">
      <c r="A32" s="64" t="s">
        <v>278</v>
      </c>
      <c r="B32" s="8" t="s">
        <v>178</v>
      </c>
      <c r="C32" s="112" t="s">
        <v>251</v>
      </c>
      <c r="D32" s="625" t="s">
        <v>279</v>
      </c>
      <c r="E32" s="625"/>
      <c r="F32" s="625"/>
      <c r="G32" s="615" t="s">
        <v>280</v>
      </c>
      <c r="H32" s="611"/>
      <c r="I32" s="65"/>
      <c r="J32" s="603"/>
      <c r="K32" s="603"/>
      <c r="L32" s="31"/>
      <c r="M32" s="89"/>
      <c r="N32" s="70"/>
      <c r="O32" s="70"/>
      <c r="P32" s="32"/>
      <c r="Q32" s="32"/>
      <c r="R32" s="30"/>
      <c r="S32" s="4"/>
      <c r="T32" s="4"/>
      <c r="X32" s="72"/>
      <c r="AF32" s="28"/>
      <c r="AJ32" s="11"/>
      <c r="AK32" s="3"/>
      <c r="AL32" s="22"/>
    </row>
    <row r="33" spans="1:38" x14ac:dyDescent="0.3">
      <c r="A33" s="64" t="s">
        <v>281</v>
      </c>
      <c r="B33" s="8" t="s">
        <v>214</v>
      </c>
      <c r="C33" s="112" t="s">
        <v>218</v>
      </c>
      <c r="D33" s="625" t="s">
        <v>282</v>
      </c>
      <c r="E33" s="625"/>
      <c r="F33" s="625"/>
      <c r="G33" s="615" t="s">
        <v>283</v>
      </c>
      <c r="H33" s="617"/>
      <c r="I33" s="65"/>
      <c r="J33" s="603" t="s">
        <v>200</v>
      </c>
      <c r="K33" s="603"/>
      <c r="L33" s="31"/>
      <c r="M33" s="89"/>
      <c r="N33" s="70"/>
      <c r="O33" s="70"/>
      <c r="P33" s="32"/>
      <c r="Q33" s="32"/>
      <c r="R33" s="30"/>
      <c r="S33" s="4"/>
      <c r="T33" s="4"/>
      <c r="X33" s="72"/>
      <c r="AF33" s="28"/>
      <c r="AJ33" s="11"/>
      <c r="AK33" s="3"/>
      <c r="AL33" s="22"/>
    </row>
    <row r="34" spans="1:38" x14ac:dyDescent="0.3">
      <c r="A34" s="64" t="s">
        <v>284</v>
      </c>
      <c r="B34" s="8" t="s">
        <v>214</v>
      </c>
      <c r="C34" s="112" t="s">
        <v>218</v>
      </c>
      <c r="D34" s="625" t="s">
        <v>285</v>
      </c>
      <c r="E34" s="625"/>
      <c r="F34" s="625"/>
      <c r="G34" s="615" t="s">
        <v>286</v>
      </c>
      <c r="H34" s="617"/>
      <c r="I34" s="65"/>
      <c r="J34" s="603"/>
      <c r="K34" s="603"/>
      <c r="L34" s="27"/>
      <c r="M34" s="89"/>
      <c r="N34" s="70"/>
      <c r="O34" s="70"/>
      <c r="Q34" s="32"/>
      <c r="R34" s="30"/>
      <c r="S34" s="27"/>
      <c r="T34" s="4"/>
      <c r="X34" s="72"/>
      <c r="AF34" s="28"/>
      <c r="AG34" s="27"/>
      <c r="AI34" s="11"/>
      <c r="AJ34" s="11"/>
      <c r="AK34" s="3"/>
      <c r="AL34" s="22"/>
    </row>
    <row r="35" spans="1:38" x14ac:dyDescent="0.3">
      <c r="A35" s="64" t="s">
        <v>287</v>
      </c>
      <c r="B35" s="8" t="s">
        <v>178</v>
      </c>
      <c r="C35" s="112" t="s">
        <v>179</v>
      </c>
      <c r="D35" s="625" t="s">
        <v>288</v>
      </c>
      <c r="E35" s="625"/>
      <c r="F35" s="625"/>
      <c r="G35" s="615" t="s">
        <v>289</v>
      </c>
      <c r="H35" s="617"/>
      <c r="I35" s="65"/>
      <c r="J35" s="603"/>
      <c r="K35" s="603"/>
      <c r="L35" s="31"/>
      <c r="M35" s="89"/>
      <c r="N35" s="70"/>
      <c r="O35" s="70"/>
      <c r="P35" s="32"/>
      <c r="Q35" s="32"/>
      <c r="R35" s="30"/>
      <c r="S35" s="4"/>
      <c r="T35" s="4"/>
      <c r="X35" s="72"/>
      <c r="AF35" s="28"/>
      <c r="AI35" s="11"/>
      <c r="AJ35" s="11"/>
      <c r="AK35" s="3"/>
      <c r="AL35" s="22"/>
    </row>
    <row r="36" spans="1:38" ht="16.5" customHeight="1" x14ac:dyDescent="0.3">
      <c r="A36" s="64" t="s">
        <v>290</v>
      </c>
      <c r="B36" s="8" t="s">
        <v>196</v>
      </c>
      <c r="C36" s="112" t="s">
        <v>179</v>
      </c>
      <c r="D36" s="625" t="s">
        <v>291</v>
      </c>
      <c r="E36" s="625"/>
      <c r="F36" s="625"/>
      <c r="G36" s="615" t="s">
        <v>292</v>
      </c>
      <c r="H36" s="617"/>
      <c r="I36" s="65"/>
      <c r="J36" s="604" t="s">
        <v>293</v>
      </c>
      <c r="K36" s="604"/>
      <c r="L36" s="3"/>
      <c r="M36" s="22"/>
      <c r="N36" s="70"/>
      <c r="O36" s="70"/>
      <c r="P36" s="3"/>
      <c r="Q36" s="3"/>
      <c r="R36" s="30"/>
      <c r="T36" s="3"/>
      <c r="U36" s="28"/>
      <c r="V36" s="28"/>
      <c r="W36" s="28"/>
      <c r="AF36" s="28"/>
      <c r="AI36" s="11"/>
      <c r="AK36" s="3"/>
      <c r="AL36" s="22"/>
    </row>
    <row r="37" spans="1:38" x14ac:dyDescent="0.3">
      <c r="A37" s="64" t="s">
        <v>294</v>
      </c>
      <c r="B37" s="8" t="s">
        <v>192</v>
      </c>
      <c r="C37" s="112" t="s">
        <v>202</v>
      </c>
      <c r="D37" s="625" t="s">
        <v>203</v>
      </c>
      <c r="E37" s="625"/>
      <c r="F37" s="625"/>
      <c r="G37" s="615" t="s">
        <v>204</v>
      </c>
      <c r="H37" s="617"/>
      <c r="I37" s="65"/>
      <c r="J37" s="604" t="s">
        <v>204</v>
      </c>
      <c r="K37" s="604"/>
      <c r="L37" s="3"/>
      <c r="M37" s="22"/>
      <c r="N37" s="70"/>
      <c r="O37" s="70"/>
      <c r="P37" s="3"/>
      <c r="Q37" s="3"/>
      <c r="R37" s="30"/>
      <c r="T37" s="3"/>
      <c r="U37" s="28"/>
      <c r="V37" s="28"/>
      <c r="W37" s="28"/>
      <c r="AF37" s="28"/>
      <c r="AI37" s="11"/>
      <c r="AK37" s="3"/>
      <c r="AL37" s="22"/>
    </row>
    <row r="38" spans="1:38" x14ac:dyDescent="0.3">
      <c r="A38" s="64" t="s">
        <v>295</v>
      </c>
      <c r="B38" s="8" t="s">
        <v>296</v>
      </c>
      <c r="C38" s="112" t="s">
        <v>251</v>
      </c>
      <c r="D38" s="625" t="s">
        <v>279</v>
      </c>
      <c r="E38" s="625"/>
      <c r="F38" s="625"/>
      <c r="G38" s="618"/>
      <c r="H38" s="619"/>
      <c r="I38" s="65"/>
      <c r="J38" s="561" t="s">
        <v>200</v>
      </c>
      <c r="K38" s="561"/>
      <c r="L38" s="3"/>
      <c r="M38" s="22"/>
      <c r="N38" s="70"/>
      <c r="O38" s="70"/>
      <c r="P38" s="3"/>
      <c r="Q38" s="3"/>
      <c r="R38" s="30"/>
      <c r="T38" s="3"/>
      <c r="U38" s="28"/>
      <c r="V38" s="28"/>
      <c r="W38" s="28"/>
      <c r="AF38" s="28"/>
      <c r="AI38" s="11"/>
      <c r="AK38" s="3"/>
      <c r="AL38" s="22"/>
    </row>
    <row r="39" spans="1:38" x14ac:dyDescent="0.3">
      <c r="A39" s="64" t="s">
        <v>297</v>
      </c>
      <c r="B39" s="8" t="s">
        <v>178</v>
      </c>
      <c r="C39" s="112" t="s">
        <v>298</v>
      </c>
      <c r="D39" s="625" t="s">
        <v>299</v>
      </c>
      <c r="E39" s="625"/>
      <c r="F39" s="625"/>
      <c r="G39" s="615" t="s">
        <v>300</v>
      </c>
      <c r="H39" s="617"/>
      <c r="I39" s="65"/>
      <c r="J39" s="604" t="s">
        <v>300</v>
      </c>
      <c r="K39" s="604"/>
      <c r="L39" s="3"/>
      <c r="M39" s="22"/>
      <c r="N39" s="70"/>
      <c r="O39" s="70"/>
      <c r="P39" s="3"/>
      <c r="Q39" s="3"/>
      <c r="R39" s="30"/>
      <c r="T39" s="3"/>
      <c r="U39" s="28"/>
      <c r="V39" s="28"/>
      <c r="W39" s="28"/>
      <c r="AF39" s="28"/>
      <c r="AI39" s="11"/>
      <c r="AK39" s="3"/>
      <c r="AL39" s="22"/>
    </row>
    <row r="40" spans="1:38" x14ac:dyDescent="0.3">
      <c r="A40" s="64" t="s">
        <v>301</v>
      </c>
      <c r="B40" s="8" t="s">
        <v>192</v>
      </c>
      <c r="C40" s="112" t="s">
        <v>218</v>
      </c>
      <c r="D40" s="625" t="s">
        <v>302</v>
      </c>
      <c r="E40" s="625"/>
      <c r="F40" s="625"/>
      <c r="G40" s="615" t="s">
        <v>303</v>
      </c>
      <c r="H40" s="617"/>
      <c r="I40" s="65"/>
      <c r="J40" s="561"/>
      <c r="K40" s="561"/>
      <c r="L40" s="3"/>
      <c r="M40" s="22"/>
      <c r="N40" s="70"/>
      <c r="O40" s="70"/>
      <c r="P40" s="3"/>
      <c r="Q40" s="3"/>
      <c r="R40" s="30"/>
      <c r="T40" s="3"/>
      <c r="U40" s="28"/>
      <c r="V40" s="28"/>
      <c r="W40" s="28"/>
      <c r="AF40" s="28"/>
      <c r="AI40" s="11"/>
      <c r="AK40" s="3"/>
      <c r="AL40" s="22"/>
    </row>
    <row r="41" spans="1:38" x14ac:dyDescent="0.3">
      <c r="A41" s="64" t="s">
        <v>304</v>
      </c>
      <c r="B41" s="8" t="s">
        <v>214</v>
      </c>
      <c r="C41" s="112" t="s">
        <v>305</v>
      </c>
      <c r="D41" s="625" t="s">
        <v>306</v>
      </c>
      <c r="E41" s="625"/>
      <c r="F41" s="625"/>
      <c r="G41" s="615" t="s">
        <v>307</v>
      </c>
      <c r="H41" s="617"/>
      <c r="I41" s="65"/>
      <c r="J41" s="604" t="s">
        <v>307</v>
      </c>
      <c r="K41" s="604"/>
      <c r="L41" s="3"/>
      <c r="M41" s="22"/>
      <c r="N41" s="70"/>
      <c r="O41" s="70"/>
      <c r="P41" s="3"/>
      <c r="Q41" s="3"/>
      <c r="R41" s="30"/>
      <c r="T41" s="3"/>
      <c r="U41" s="28"/>
      <c r="V41" s="28"/>
      <c r="W41" s="28"/>
      <c r="AF41" s="28"/>
      <c r="AI41" s="11"/>
      <c r="AK41" s="3"/>
      <c r="AL41" s="22"/>
    </row>
    <row r="42" spans="1:38" x14ac:dyDescent="0.3">
      <c r="A42" s="64" t="s">
        <v>308</v>
      </c>
      <c r="B42" s="8" t="s">
        <v>309</v>
      </c>
      <c r="C42" s="112" t="s">
        <v>251</v>
      </c>
      <c r="D42" s="625" t="s">
        <v>251</v>
      </c>
      <c r="E42" s="625"/>
      <c r="F42" s="625"/>
      <c r="G42" s="618"/>
      <c r="H42" s="619"/>
      <c r="I42" s="65"/>
      <c r="J42" s="561"/>
      <c r="K42" s="561"/>
      <c r="L42" s="3"/>
      <c r="M42" s="22"/>
      <c r="N42" s="70"/>
      <c r="O42" s="70"/>
      <c r="P42" s="3"/>
      <c r="Q42" s="3"/>
      <c r="R42" s="30"/>
      <c r="T42" s="3"/>
      <c r="U42" s="28"/>
      <c r="V42" s="28"/>
      <c r="W42" s="28"/>
      <c r="AF42" s="28"/>
      <c r="AI42" s="11"/>
      <c r="AK42" s="3"/>
      <c r="AL42" s="22"/>
    </row>
    <row r="43" spans="1:38" x14ac:dyDescent="0.3">
      <c r="A43" s="64" t="s">
        <v>310</v>
      </c>
      <c r="B43" s="8" t="s">
        <v>192</v>
      </c>
      <c r="C43" s="112" t="s">
        <v>311</v>
      </c>
      <c r="D43" s="625" t="s">
        <v>312</v>
      </c>
      <c r="E43" s="625"/>
      <c r="F43" s="625"/>
      <c r="G43" s="618" t="s">
        <v>313</v>
      </c>
      <c r="H43" s="619"/>
      <c r="I43" s="65"/>
      <c r="J43" s="561" t="s">
        <v>313</v>
      </c>
      <c r="K43" s="561"/>
      <c r="L43" s="3"/>
      <c r="M43" s="22"/>
      <c r="N43" s="70"/>
      <c r="O43" s="70"/>
      <c r="P43" s="3"/>
      <c r="Q43" s="3"/>
      <c r="R43" s="30"/>
      <c r="T43" s="3"/>
      <c r="U43" s="28"/>
      <c r="V43" s="28"/>
      <c r="W43" s="28"/>
      <c r="AF43" s="28"/>
      <c r="AK43" s="3"/>
      <c r="AL43" s="22"/>
    </row>
    <row r="44" spans="1:38" x14ac:dyDescent="0.3">
      <c r="A44" s="64" t="s">
        <v>314</v>
      </c>
      <c r="B44" s="8" t="s">
        <v>214</v>
      </c>
      <c r="C44" s="112" t="s">
        <v>315</v>
      </c>
      <c r="D44" s="625" t="s">
        <v>316</v>
      </c>
      <c r="E44" s="625"/>
      <c r="F44" s="625"/>
      <c r="G44" s="618" t="s">
        <v>317</v>
      </c>
      <c r="H44" s="619"/>
      <c r="I44" s="65"/>
      <c r="J44" s="561" t="s">
        <v>318</v>
      </c>
      <c r="K44" s="561"/>
      <c r="L44" s="3"/>
      <c r="M44" s="22"/>
      <c r="N44" s="70"/>
      <c r="O44" s="70"/>
      <c r="P44" s="3"/>
      <c r="Q44" s="3"/>
      <c r="R44" s="30"/>
      <c r="T44" s="3"/>
      <c r="U44" s="28"/>
      <c r="V44" s="28"/>
      <c r="W44" s="28"/>
      <c r="AF44" s="28"/>
      <c r="AK44" s="3"/>
      <c r="AL44" s="22"/>
    </row>
    <row r="45" spans="1:38" x14ac:dyDescent="0.3">
      <c r="A45" s="64" t="s">
        <v>319</v>
      </c>
      <c r="B45" s="8" t="s">
        <v>196</v>
      </c>
      <c r="C45" s="112" t="s">
        <v>218</v>
      </c>
      <c r="D45" s="625" t="s">
        <v>320</v>
      </c>
      <c r="E45" s="625"/>
      <c r="F45" s="625"/>
      <c r="G45" s="618" t="s">
        <v>321</v>
      </c>
      <c r="H45" s="619"/>
      <c r="I45" s="65"/>
      <c r="J45" s="604"/>
      <c r="K45" s="604"/>
      <c r="L45" s="3"/>
      <c r="M45" s="22"/>
      <c r="N45" s="70"/>
      <c r="O45" s="70"/>
      <c r="P45" s="3"/>
      <c r="Q45" s="3"/>
      <c r="R45" s="30"/>
      <c r="T45" s="3"/>
      <c r="U45" s="28"/>
      <c r="V45" s="28"/>
      <c r="W45" s="28"/>
      <c r="AF45" s="28"/>
      <c r="AK45" s="3"/>
      <c r="AL45" s="22"/>
    </row>
    <row r="46" spans="1:38" x14ac:dyDescent="0.3">
      <c r="A46" s="64" t="s">
        <v>322</v>
      </c>
      <c r="B46" s="8" t="s">
        <v>178</v>
      </c>
      <c r="C46" s="112" t="s">
        <v>218</v>
      </c>
      <c r="D46" s="625" t="s">
        <v>320</v>
      </c>
      <c r="E46" s="625"/>
      <c r="F46" s="625"/>
      <c r="G46" s="618" t="s">
        <v>321</v>
      </c>
      <c r="H46" s="619"/>
      <c r="I46" s="65"/>
      <c r="J46" s="561"/>
      <c r="K46" s="561"/>
      <c r="L46" s="3"/>
      <c r="M46" s="22"/>
      <c r="N46" s="70"/>
      <c r="O46" s="70"/>
      <c r="P46" s="3"/>
      <c r="Q46" s="3"/>
      <c r="R46" s="30"/>
      <c r="T46" s="3"/>
      <c r="U46" s="28"/>
      <c r="V46" s="28"/>
      <c r="W46" s="28"/>
      <c r="AF46" s="28"/>
      <c r="AK46" s="3"/>
      <c r="AL46" s="22"/>
    </row>
    <row r="47" spans="1:38" x14ac:dyDescent="0.3">
      <c r="A47" s="64" t="s">
        <v>323</v>
      </c>
      <c r="B47" s="8" t="s">
        <v>214</v>
      </c>
      <c r="C47" s="112" t="s">
        <v>251</v>
      </c>
      <c r="D47" s="625" t="s">
        <v>251</v>
      </c>
      <c r="E47" s="625"/>
      <c r="F47" s="625"/>
      <c r="G47" s="618"/>
      <c r="H47" s="619"/>
      <c r="I47" s="65"/>
      <c r="J47" s="561"/>
      <c r="K47" s="561"/>
      <c r="L47" s="3"/>
      <c r="M47" s="22"/>
      <c r="N47" s="70"/>
      <c r="O47" s="70"/>
      <c r="P47" s="3"/>
      <c r="Q47" s="3"/>
      <c r="R47" s="30"/>
      <c r="T47" s="3"/>
      <c r="U47" s="28"/>
      <c r="V47" s="28"/>
      <c r="W47" s="28"/>
      <c r="AF47" s="28"/>
      <c r="AK47" s="3"/>
      <c r="AL47" s="22"/>
    </row>
    <row r="48" spans="1:38" x14ac:dyDescent="0.3">
      <c r="A48" s="64" t="s">
        <v>324</v>
      </c>
      <c r="B48" s="8" t="s">
        <v>214</v>
      </c>
      <c r="C48" s="112" t="s">
        <v>188</v>
      </c>
      <c r="D48" s="625" t="s">
        <v>325</v>
      </c>
      <c r="E48" s="625"/>
      <c r="F48" s="625"/>
      <c r="G48" s="615" t="s">
        <v>181</v>
      </c>
      <c r="H48" s="617"/>
      <c r="I48" s="65"/>
      <c r="J48" s="561"/>
      <c r="K48" s="561"/>
      <c r="L48" s="3"/>
      <c r="M48" s="22"/>
      <c r="N48" s="70"/>
      <c r="O48" s="70"/>
      <c r="P48" s="3"/>
      <c r="Q48" s="3"/>
      <c r="R48" s="30"/>
      <c r="T48" s="3"/>
      <c r="U48" s="28"/>
      <c r="V48" s="28"/>
      <c r="W48" s="28"/>
      <c r="AF48" s="28"/>
      <c r="AK48" s="3"/>
      <c r="AL48" s="22"/>
    </row>
    <row r="49" spans="1:38" x14ac:dyDescent="0.3">
      <c r="A49" s="64" t="s">
        <v>326</v>
      </c>
      <c r="B49" s="8" t="s">
        <v>327</v>
      </c>
      <c r="C49" s="112" t="s">
        <v>251</v>
      </c>
      <c r="D49" s="625" t="s">
        <v>251</v>
      </c>
      <c r="E49" s="625"/>
      <c r="F49" s="625"/>
      <c r="G49" s="618" t="s">
        <v>328</v>
      </c>
      <c r="H49" s="619"/>
      <c r="I49" s="65"/>
      <c r="J49" s="561"/>
      <c r="K49" s="561"/>
      <c r="L49" s="3"/>
      <c r="M49" s="22"/>
      <c r="N49" s="70"/>
      <c r="O49" s="70"/>
      <c r="P49" s="3"/>
      <c r="Q49" s="3"/>
      <c r="R49" s="30"/>
      <c r="T49" s="3"/>
      <c r="U49" s="28"/>
      <c r="V49" s="28"/>
      <c r="W49" s="28"/>
      <c r="AF49" s="28"/>
      <c r="AK49" s="3"/>
      <c r="AL49" s="22"/>
    </row>
    <row r="50" spans="1:38" x14ac:dyDescent="0.3">
      <c r="A50" s="64" t="s">
        <v>329</v>
      </c>
      <c r="B50" s="8" t="s">
        <v>330</v>
      </c>
      <c r="C50" s="112" t="s">
        <v>218</v>
      </c>
      <c r="D50" s="625" t="s">
        <v>331</v>
      </c>
      <c r="E50" s="625"/>
      <c r="F50" s="625"/>
      <c r="G50" s="615" t="s">
        <v>332</v>
      </c>
      <c r="H50" s="617"/>
      <c r="I50" s="65"/>
      <c r="J50" s="561"/>
      <c r="K50" s="561"/>
      <c r="L50" s="30"/>
      <c r="N50" s="70"/>
      <c r="O50" s="70"/>
      <c r="P50" s="30"/>
      <c r="R50" s="30"/>
      <c r="S50" s="30"/>
      <c r="T50" s="30"/>
      <c r="U50" s="30"/>
      <c r="V50" s="30"/>
      <c r="W50" s="30"/>
      <c r="X50" s="30"/>
      <c r="Y50" s="30"/>
      <c r="Z50" s="30"/>
      <c r="AA50" s="30"/>
      <c r="AF50" s="28"/>
      <c r="AK50" s="3"/>
      <c r="AL50" s="22"/>
    </row>
    <row r="51" spans="1:38" x14ac:dyDescent="0.3">
      <c r="A51" s="64" t="s">
        <v>333</v>
      </c>
      <c r="B51" s="9" t="s">
        <v>192</v>
      </c>
      <c r="C51" s="112" t="s">
        <v>188</v>
      </c>
      <c r="D51" s="626" t="s">
        <v>334</v>
      </c>
      <c r="E51" s="626"/>
      <c r="F51" s="626"/>
      <c r="G51" s="615" t="s">
        <v>335</v>
      </c>
      <c r="H51" s="617"/>
      <c r="I51" s="65"/>
      <c r="J51" s="603"/>
      <c r="K51" s="603"/>
      <c r="L51" s="30"/>
      <c r="N51" s="70"/>
      <c r="O51" s="70"/>
      <c r="P51" s="30"/>
      <c r="R51" s="30"/>
      <c r="S51" s="30"/>
      <c r="T51" s="30"/>
      <c r="U51" s="30"/>
      <c r="V51" s="30"/>
      <c r="W51" s="30"/>
      <c r="X51" s="30"/>
      <c r="Y51" s="30"/>
      <c r="Z51" s="30"/>
      <c r="AA51" s="30"/>
      <c r="AF51" s="28"/>
      <c r="AK51" s="3"/>
      <c r="AL51" s="22"/>
    </row>
    <row r="52" spans="1:38" x14ac:dyDescent="0.3">
      <c r="A52" s="64" t="s">
        <v>336</v>
      </c>
      <c r="B52" s="9" t="s">
        <v>214</v>
      </c>
      <c r="C52" s="112" t="s">
        <v>179</v>
      </c>
      <c r="D52" s="626" t="s">
        <v>337</v>
      </c>
      <c r="E52" s="626"/>
      <c r="F52" s="626"/>
      <c r="G52" s="615" t="s">
        <v>338</v>
      </c>
      <c r="H52" s="617"/>
      <c r="I52" s="65"/>
      <c r="J52" s="603"/>
      <c r="K52" s="603"/>
      <c r="L52" s="30"/>
      <c r="N52" s="70"/>
      <c r="O52" s="70"/>
      <c r="P52" s="30"/>
      <c r="R52" s="30"/>
      <c r="S52" s="30"/>
      <c r="T52" s="30"/>
      <c r="U52" s="30"/>
      <c r="V52" s="30"/>
      <c r="W52" s="30"/>
      <c r="X52" s="30"/>
      <c r="Y52" s="30"/>
      <c r="Z52" s="30"/>
      <c r="AA52" s="30"/>
      <c r="AF52" s="28"/>
      <c r="AK52" s="3"/>
      <c r="AL52" s="22"/>
    </row>
    <row r="53" spans="1:38" x14ac:dyDescent="0.3">
      <c r="A53" s="64" t="s">
        <v>339</v>
      </c>
      <c r="B53" s="9" t="s">
        <v>178</v>
      </c>
      <c r="C53" s="112" t="s">
        <v>188</v>
      </c>
      <c r="D53" s="626" t="s">
        <v>340</v>
      </c>
      <c r="E53" s="626"/>
      <c r="F53" s="626"/>
      <c r="G53" s="615" t="s">
        <v>341</v>
      </c>
      <c r="H53" s="617"/>
      <c r="I53" s="65"/>
      <c r="J53" s="603"/>
      <c r="K53" s="603"/>
      <c r="L53" s="30"/>
      <c r="N53" s="70"/>
      <c r="O53" s="70"/>
      <c r="P53" s="30"/>
      <c r="R53" s="30"/>
      <c r="S53" s="30"/>
      <c r="T53" s="30"/>
      <c r="U53" s="30"/>
      <c r="V53" s="30"/>
      <c r="W53" s="30"/>
      <c r="X53" s="30"/>
      <c r="Y53" s="30"/>
      <c r="Z53" s="30"/>
      <c r="AA53" s="30"/>
      <c r="AF53" s="28"/>
      <c r="AK53" s="3"/>
      <c r="AL53" s="22"/>
    </row>
    <row r="54" spans="1:38" x14ac:dyDescent="0.3">
      <c r="A54" s="64" t="s">
        <v>342</v>
      </c>
      <c r="B54" s="8" t="s">
        <v>192</v>
      </c>
      <c r="C54" s="112" t="s">
        <v>343</v>
      </c>
      <c r="D54" s="626" t="s">
        <v>344</v>
      </c>
      <c r="E54" s="626"/>
      <c r="F54" s="626"/>
      <c r="G54" s="612" t="s">
        <v>194</v>
      </c>
      <c r="H54" s="614"/>
      <c r="I54" s="65"/>
      <c r="J54" s="604" t="s">
        <v>194</v>
      </c>
      <c r="K54" s="604"/>
      <c r="L54" s="30"/>
      <c r="N54" s="70"/>
      <c r="O54" s="70"/>
      <c r="P54" s="30"/>
      <c r="R54" s="30"/>
      <c r="S54" s="30"/>
      <c r="T54" s="30"/>
      <c r="U54" s="30"/>
      <c r="V54" s="30"/>
      <c r="W54" s="30"/>
      <c r="X54" s="30"/>
      <c r="Y54" s="30"/>
      <c r="Z54" s="30"/>
      <c r="AA54" s="30"/>
      <c r="AF54" s="28"/>
      <c r="AK54" s="3"/>
      <c r="AL54" s="22"/>
    </row>
    <row r="55" spans="1:38" x14ac:dyDescent="0.3">
      <c r="A55" s="64" t="s">
        <v>345</v>
      </c>
      <c r="B55" s="8" t="s">
        <v>192</v>
      </c>
      <c r="C55" s="112" t="s">
        <v>202</v>
      </c>
      <c r="D55" s="626" t="s">
        <v>346</v>
      </c>
      <c r="E55" s="626"/>
      <c r="F55" s="626"/>
      <c r="G55" s="612" t="s">
        <v>204</v>
      </c>
      <c r="H55" s="614"/>
      <c r="I55" s="65"/>
      <c r="J55" s="604" t="s">
        <v>204</v>
      </c>
      <c r="K55" s="604"/>
      <c r="L55" s="30"/>
      <c r="N55" s="70"/>
      <c r="O55" s="70"/>
      <c r="P55" s="30"/>
      <c r="R55" s="30"/>
      <c r="S55" s="30"/>
      <c r="T55" s="30"/>
      <c r="U55" s="30"/>
      <c r="V55" s="30"/>
      <c r="W55" s="30"/>
      <c r="X55" s="30"/>
      <c r="Y55" s="30"/>
      <c r="Z55" s="30"/>
      <c r="AA55" s="30"/>
      <c r="AF55" s="28"/>
      <c r="AK55" s="3"/>
      <c r="AL55" s="22"/>
    </row>
    <row r="56" spans="1:38" x14ac:dyDescent="0.3">
      <c r="A56" s="64" t="s">
        <v>347</v>
      </c>
      <c r="B56" s="8" t="s">
        <v>192</v>
      </c>
      <c r="C56" s="112" t="s">
        <v>218</v>
      </c>
      <c r="D56" s="625" t="s">
        <v>348</v>
      </c>
      <c r="E56" s="625"/>
      <c r="F56" s="625"/>
      <c r="G56" s="615" t="s">
        <v>349</v>
      </c>
      <c r="H56" s="617"/>
      <c r="I56" s="65"/>
      <c r="J56" s="603"/>
      <c r="K56" s="603"/>
      <c r="N56" s="70"/>
      <c r="O56" s="70"/>
      <c r="P56" s="3"/>
      <c r="Q56" s="27"/>
      <c r="R56" s="30"/>
      <c r="T56" s="3"/>
      <c r="X56" s="72"/>
      <c r="AF56" s="28"/>
      <c r="AK56" s="3"/>
      <c r="AL56" s="22"/>
    </row>
    <row r="57" spans="1:38" x14ac:dyDescent="0.3">
      <c r="A57" s="64" t="s">
        <v>350</v>
      </c>
      <c r="B57" s="8" t="s">
        <v>192</v>
      </c>
      <c r="C57" s="112" t="s">
        <v>202</v>
      </c>
      <c r="D57" s="626" t="s">
        <v>346</v>
      </c>
      <c r="E57" s="626"/>
      <c r="F57" s="626"/>
      <c r="G57" s="612" t="s">
        <v>204</v>
      </c>
      <c r="H57" s="614"/>
      <c r="I57" s="65"/>
      <c r="J57" s="604" t="s">
        <v>204</v>
      </c>
      <c r="K57" s="604"/>
      <c r="M57" s="22"/>
      <c r="N57" s="70"/>
      <c r="O57" s="70"/>
      <c r="Q57" s="27"/>
      <c r="R57" s="30"/>
      <c r="T57" s="3"/>
      <c r="X57" s="72"/>
      <c r="AA57" s="30"/>
      <c r="AB57" s="30"/>
      <c r="AF57" s="28"/>
      <c r="AK57" s="3"/>
      <c r="AL57" s="22"/>
    </row>
    <row r="58" spans="1:38" x14ac:dyDescent="0.3">
      <c r="A58" s="64" t="s">
        <v>351</v>
      </c>
      <c r="B58" s="8" t="s">
        <v>210</v>
      </c>
      <c r="C58" s="112" t="s">
        <v>298</v>
      </c>
      <c r="D58" s="626" t="s">
        <v>299</v>
      </c>
      <c r="E58" s="626"/>
      <c r="F58" s="626"/>
      <c r="G58" s="615" t="s">
        <v>300</v>
      </c>
      <c r="H58" s="617"/>
      <c r="I58" s="65"/>
      <c r="J58" s="604" t="s">
        <v>352</v>
      </c>
      <c r="K58" s="604"/>
      <c r="M58" s="22"/>
      <c r="N58" s="70"/>
      <c r="O58" s="70"/>
      <c r="Q58" s="27"/>
      <c r="R58" s="30"/>
      <c r="T58" s="3"/>
      <c r="X58" s="72"/>
      <c r="AA58" s="30"/>
      <c r="AB58" s="30"/>
      <c r="AF58" s="28"/>
      <c r="AK58" s="3"/>
      <c r="AL58" s="22"/>
    </row>
    <row r="59" spans="1:38" x14ac:dyDescent="0.3">
      <c r="A59" s="64" t="s">
        <v>353</v>
      </c>
      <c r="B59" s="8" t="s">
        <v>214</v>
      </c>
      <c r="C59" s="112" t="s">
        <v>251</v>
      </c>
      <c r="D59" s="625" t="s">
        <v>251</v>
      </c>
      <c r="E59" s="625"/>
      <c r="F59" s="625"/>
      <c r="G59" s="618" t="s">
        <v>354</v>
      </c>
      <c r="H59" s="619"/>
      <c r="I59" s="65"/>
      <c r="J59" s="604"/>
      <c r="K59" s="604"/>
      <c r="M59" s="22"/>
      <c r="N59" s="70"/>
      <c r="O59" s="70"/>
      <c r="Q59" s="27"/>
      <c r="R59" s="30"/>
      <c r="T59" s="3"/>
      <c r="X59" s="72"/>
      <c r="AA59" s="30"/>
      <c r="AB59" s="30"/>
      <c r="AF59" s="28"/>
      <c r="AK59" s="3"/>
      <c r="AL59" s="22"/>
    </row>
    <row r="60" spans="1:38" x14ac:dyDescent="0.3">
      <c r="D60" s="623"/>
      <c r="E60" s="623"/>
      <c r="F60" s="623"/>
      <c r="J60" s="30"/>
      <c r="Z60" s="30"/>
      <c r="AA60" s="30"/>
    </row>
    <row r="61" spans="1:38" x14ac:dyDescent="0.3">
      <c r="A61" s="197" t="s">
        <v>355</v>
      </c>
      <c r="D61" s="623"/>
      <c r="E61" s="623"/>
      <c r="F61" s="623"/>
      <c r="J61" s="30"/>
      <c r="Z61" s="30"/>
      <c r="AA61" s="30"/>
    </row>
    <row r="62" spans="1:38" x14ac:dyDescent="0.3">
      <c r="D62" s="623"/>
      <c r="E62" s="623"/>
      <c r="F62" s="623"/>
      <c r="J62" s="30"/>
      <c r="Z62" s="30"/>
      <c r="AA62" s="30"/>
    </row>
    <row r="63" spans="1:38" x14ac:dyDescent="0.3">
      <c r="A63" s="6" t="s">
        <v>356</v>
      </c>
      <c r="B63" s="4"/>
      <c r="C63" s="30"/>
      <c r="D63" s="633" t="s">
        <v>357</v>
      </c>
      <c r="E63" s="633"/>
      <c r="F63" s="633"/>
      <c r="H63" s="30"/>
      <c r="I63" s="30"/>
      <c r="J63" s="31"/>
      <c r="K63" s="100"/>
      <c r="L63" s="32"/>
      <c r="N63" s="4"/>
      <c r="O63" s="4"/>
      <c r="P63" s="4"/>
      <c r="R63" s="33"/>
      <c r="S63" s="33"/>
      <c r="V63" s="28"/>
      <c r="W63" s="28"/>
    </row>
    <row r="64" spans="1:38" x14ac:dyDescent="0.3">
      <c r="A64" s="6" t="s">
        <v>358</v>
      </c>
      <c r="B64" s="4"/>
      <c r="C64" s="28"/>
      <c r="D64" s="633" t="s">
        <v>357</v>
      </c>
      <c r="E64" s="633"/>
      <c r="F64" s="633"/>
      <c r="G64" s="31"/>
      <c r="H64" s="31"/>
      <c r="I64" s="31"/>
      <c r="J64" s="30"/>
      <c r="K64" s="100"/>
      <c r="L64" s="31"/>
      <c r="N64" s="32"/>
      <c r="O64" s="32"/>
      <c r="P64" s="32"/>
      <c r="R64" s="4"/>
      <c r="S64" s="4"/>
    </row>
    <row r="65" spans="1:44" x14ac:dyDescent="0.3">
      <c r="A65" s="6" t="s">
        <v>359</v>
      </c>
      <c r="D65" s="623" t="s">
        <v>357</v>
      </c>
      <c r="E65" s="623"/>
      <c r="F65" s="623"/>
      <c r="G65" s="3"/>
      <c r="H65" s="3"/>
      <c r="I65" s="3"/>
      <c r="J65" s="3"/>
      <c r="K65" s="98"/>
      <c r="L65" s="3"/>
      <c r="N65" s="3"/>
      <c r="O65" s="3"/>
      <c r="P65" s="3"/>
      <c r="T65" s="28"/>
      <c r="U65" s="28"/>
      <c r="V65" s="28"/>
      <c r="W65" s="28"/>
    </row>
    <row r="66" spans="1:44" x14ac:dyDescent="0.3">
      <c r="A66" s="6" t="s">
        <v>360</v>
      </c>
      <c r="D66" s="623" t="s">
        <v>357</v>
      </c>
      <c r="E66" s="623"/>
      <c r="F66" s="623"/>
      <c r="G66" s="3"/>
      <c r="H66" s="3"/>
      <c r="I66" s="3"/>
      <c r="J66" s="3"/>
      <c r="K66" s="98"/>
      <c r="L66" s="3"/>
      <c r="N66" s="3"/>
      <c r="O66" s="3"/>
      <c r="P66" s="3"/>
      <c r="T66" s="28"/>
      <c r="U66" s="28"/>
      <c r="V66" s="28"/>
      <c r="W66" s="28"/>
    </row>
    <row r="67" spans="1:44" x14ac:dyDescent="0.3">
      <c r="A67" s="6" t="s">
        <v>361</v>
      </c>
      <c r="D67" s="623" t="s">
        <v>357</v>
      </c>
      <c r="E67" s="623"/>
      <c r="F67" s="623"/>
      <c r="G67" s="3"/>
      <c r="H67" s="3"/>
      <c r="I67" s="3"/>
      <c r="J67" s="3"/>
      <c r="K67" s="98"/>
      <c r="L67" s="3"/>
      <c r="N67" s="3"/>
      <c r="O67" s="3"/>
      <c r="P67" s="3"/>
      <c r="T67" s="28"/>
      <c r="U67" s="28"/>
      <c r="V67" s="28"/>
      <c r="W67" s="28"/>
    </row>
    <row r="68" spans="1:44" x14ac:dyDescent="0.3">
      <c r="A68" s="6" t="s">
        <v>362</v>
      </c>
      <c r="B68" s="22"/>
      <c r="C68" s="28"/>
      <c r="D68" s="623" t="s">
        <v>357</v>
      </c>
      <c r="E68" s="623"/>
      <c r="F68" s="623"/>
      <c r="G68" s="30"/>
      <c r="H68" s="30"/>
      <c r="I68" s="30"/>
      <c r="J68" s="30"/>
      <c r="K68" s="100"/>
      <c r="L68" s="30"/>
      <c r="N68" s="30"/>
      <c r="O68" s="30"/>
      <c r="P68" s="30"/>
      <c r="R68" s="30"/>
      <c r="S68" s="30"/>
      <c r="T68" s="30"/>
      <c r="U68" s="30"/>
      <c r="V68" s="30"/>
      <c r="W68" s="30"/>
      <c r="X68" s="30"/>
      <c r="Y68" s="30"/>
      <c r="Z68" s="30"/>
    </row>
    <row r="69" spans="1:44" x14ac:dyDescent="0.3">
      <c r="A69" s="6" t="s">
        <v>363</v>
      </c>
      <c r="B69" s="22"/>
      <c r="C69" s="28"/>
      <c r="D69" s="623" t="s">
        <v>357</v>
      </c>
      <c r="E69" s="623"/>
      <c r="F69" s="623"/>
      <c r="G69" s="30"/>
      <c r="H69" s="30"/>
      <c r="I69" s="30"/>
      <c r="J69" s="30"/>
      <c r="K69" s="100"/>
      <c r="L69" s="30"/>
      <c r="N69" s="30"/>
      <c r="O69" s="30"/>
      <c r="P69" s="30"/>
      <c r="R69" s="30"/>
      <c r="S69" s="30"/>
      <c r="T69" s="30"/>
      <c r="U69" s="30"/>
      <c r="V69" s="30"/>
      <c r="W69" s="30"/>
      <c r="X69" s="30"/>
      <c r="Y69" s="30"/>
      <c r="Z69" s="30"/>
    </row>
    <row r="70" spans="1:44" x14ac:dyDescent="0.3">
      <c r="D70" s="623"/>
      <c r="E70" s="623"/>
      <c r="F70" s="623"/>
      <c r="J70" s="30"/>
      <c r="Z70" s="30"/>
      <c r="AA70" s="30"/>
    </row>
    <row r="71" spans="1:44" x14ac:dyDescent="0.3">
      <c r="A71" s="23" t="s">
        <v>364</v>
      </c>
      <c r="C71" s="630" t="s">
        <v>365</v>
      </c>
      <c r="D71" s="630"/>
      <c r="E71" s="630"/>
      <c r="F71" s="630"/>
      <c r="G71" s="630"/>
      <c r="H71" s="630"/>
      <c r="I71" s="630"/>
      <c r="J71" s="630"/>
      <c r="K71" s="630"/>
      <c r="L71" s="630"/>
      <c r="M71" s="630"/>
      <c r="N71" s="124"/>
      <c r="O71" s="72"/>
      <c r="P71" s="72"/>
      <c r="Q71" s="72"/>
      <c r="R71" s="72"/>
      <c r="S71" s="72"/>
      <c r="T71" s="557" t="s">
        <v>366</v>
      </c>
      <c r="U71" s="557"/>
      <c r="V71" s="557"/>
      <c r="W71" s="557"/>
      <c r="X71" s="557"/>
      <c r="Y71" s="557"/>
      <c r="Z71" s="557"/>
      <c r="AA71" s="557"/>
      <c r="AB71" s="557"/>
      <c r="AC71" s="557"/>
      <c r="AD71" s="557"/>
      <c r="AE71" s="557"/>
      <c r="AF71" s="28"/>
      <c r="AG71" s="28"/>
      <c r="AH71" s="28"/>
      <c r="AK71" s="3"/>
      <c r="AN71" s="22"/>
    </row>
    <row r="72" spans="1:44" x14ac:dyDescent="0.3">
      <c r="C72" s="3"/>
      <c r="D72" s="28"/>
      <c r="E72" s="28"/>
      <c r="F72" s="28"/>
      <c r="G72" s="28"/>
      <c r="H72" s="28"/>
      <c r="I72" s="28"/>
      <c r="J72" s="70"/>
      <c r="K72" s="12"/>
      <c r="L72" s="98"/>
      <c r="M72" s="12"/>
      <c r="N72" s="124"/>
      <c r="O72" s="3"/>
      <c r="P72" s="3"/>
      <c r="Q72" s="3"/>
      <c r="T72" s="39" t="s">
        <v>103</v>
      </c>
      <c r="U72" s="39" t="s">
        <v>68</v>
      </c>
      <c r="V72" s="330" t="s">
        <v>69</v>
      </c>
      <c r="W72" s="39" t="s">
        <v>70</v>
      </c>
      <c r="X72" s="39" t="s">
        <v>71</v>
      </c>
      <c r="Y72" s="39" t="s">
        <v>72</v>
      </c>
      <c r="Z72" s="39" t="s">
        <v>73</v>
      </c>
      <c r="AA72" s="39" t="s">
        <v>74</v>
      </c>
      <c r="AB72" s="39" t="s">
        <v>75</v>
      </c>
      <c r="AC72" s="39" t="s">
        <v>76</v>
      </c>
      <c r="AD72" s="39" t="s">
        <v>77</v>
      </c>
      <c r="AE72" s="39" t="s">
        <v>78</v>
      </c>
      <c r="AI72" s="28"/>
      <c r="AJ72" s="28"/>
      <c r="AK72" s="28"/>
      <c r="AL72" s="28"/>
      <c r="AR72" s="22"/>
    </row>
    <row r="73" spans="1:44" s="98" customFormat="1" ht="81.75" customHeight="1" x14ac:dyDescent="0.3">
      <c r="A73" s="176" t="s">
        <v>171</v>
      </c>
      <c r="B73" s="176" t="s">
        <v>172</v>
      </c>
      <c r="C73" s="48" t="s">
        <v>173</v>
      </c>
      <c r="D73" s="183" t="s">
        <v>968</v>
      </c>
      <c r="E73" s="627" t="s">
        <v>367</v>
      </c>
      <c r="F73" s="628"/>
      <c r="G73" s="628"/>
      <c r="H73" s="629"/>
      <c r="I73" s="108"/>
      <c r="J73" s="182" t="s">
        <v>153</v>
      </c>
      <c r="K73" s="631" t="s">
        <v>368</v>
      </c>
      <c r="L73" s="632"/>
      <c r="M73" s="188"/>
      <c r="N73" s="189" t="s">
        <v>369</v>
      </c>
      <c r="O73" s="631" t="s">
        <v>154</v>
      </c>
      <c r="P73" s="641"/>
      <c r="Q73" s="641"/>
      <c r="R73" s="632"/>
      <c r="T73" s="162" t="s">
        <v>80</v>
      </c>
      <c r="U73" s="162" t="s">
        <v>81</v>
      </c>
      <c r="V73" s="162" t="s">
        <v>133</v>
      </c>
      <c r="W73" s="162" t="s">
        <v>134</v>
      </c>
      <c r="X73" s="162" t="s">
        <v>84</v>
      </c>
      <c r="Y73" s="162" t="s">
        <v>85</v>
      </c>
      <c r="Z73" s="162" t="s">
        <v>86</v>
      </c>
      <c r="AA73" s="162" t="s">
        <v>87</v>
      </c>
      <c r="AB73" s="162" t="s">
        <v>88</v>
      </c>
      <c r="AC73" s="162" t="s">
        <v>89</v>
      </c>
      <c r="AD73" s="162" t="s">
        <v>90</v>
      </c>
      <c r="AE73" s="328" t="s">
        <v>91</v>
      </c>
      <c r="AF73" s="162" t="s">
        <v>370</v>
      </c>
      <c r="AI73" s="23"/>
      <c r="AJ73" s="23"/>
      <c r="AK73" s="23"/>
      <c r="AL73" s="23"/>
      <c r="AR73" s="190"/>
    </row>
    <row r="74" spans="1:44" x14ac:dyDescent="0.3">
      <c r="A74" s="64" t="s">
        <v>177</v>
      </c>
      <c r="B74" s="8" t="s">
        <v>178</v>
      </c>
      <c r="C74" s="8" t="s">
        <v>179</v>
      </c>
      <c r="D74" s="19"/>
      <c r="E74" s="615"/>
      <c r="F74" s="616"/>
      <c r="G74" s="616"/>
      <c r="H74" s="617"/>
      <c r="J74" s="69"/>
      <c r="K74" s="606"/>
      <c r="L74" s="608"/>
      <c r="M74" s="27"/>
      <c r="N74" s="118"/>
      <c r="O74" s="618"/>
      <c r="P74" s="622"/>
      <c r="Q74" s="622"/>
      <c r="R74" s="619"/>
      <c r="T74" s="71"/>
      <c r="U74" s="71"/>
      <c r="V74" s="71"/>
      <c r="W74" s="71"/>
      <c r="X74" s="39"/>
      <c r="Y74" s="39"/>
      <c r="Z74" s="39"/>
      <c r="AA74" s="39"/>
      <c r="AB74" s="39"/>
      <c r="AC74" s="39"/>
      <c r="AD74" s="39"/>
      <c r="AE74" s="39"/>
      <c r="AF74" s="8"/>
      <c r="AI74" s="28"/>
      <c r="AJ74" s="28"/>
      <c r="AK74" s="28"/>
      <c r="AL74" s="28"/>
      <c r="AR74" s="22"/>
    </row>
    <row r="75" spans="1:44" x14ac:dyDescent="0.3">
      <c r="A75" s="64" t="s">
        <v>183</v>
      </c>
      <c r="B75" s="8" t="s">
        <v>178</v>
      </c>
      <c r="C75" s="8" t="s">
        <v>179</v>
      </c>
      <c r="D75" s="19"/>
      <c r="E75" s="615"/>
      <c r="F75" s="616"/>
      <c r="G75" s="616"/>
      <c r="H75" s="617"/>
      <c r="J75" s="69"/>
      <c r="K75" s="606"/>
      <c r="L75" s="608"/>
      <c r="M75" s="27"/>
      <c r="N75" s="118"/>
      <c r="O75" s="618"/>
      <c r="P75" s="622"/>
      <c r="Q75" s="622"/>
      <c r="R75" s="619"/>
      <c r="T75" s="71"/>
      <c r="U75" s="71"/>
      <c r="V75" s="71"/>
      <c r="W75" s="71"/>
      <c r="X75" s="39"/>
      <c r="Y75" s="39"/>
      <c r="Z75" s="39"/>
      <c r="AA75" s="39"/>
      <c r="AB75" s="39"/>
      <c r="AC75" s="39"/>
      <c r="AD75" s="39"/>
      <c r="AE75" s="39"/>
      <c r="AF75" s="8"/>
      <c r="AI75" s="28"/>
      <c r="AJ75" s="28"/>
      <c r="AK75" s="28"/>
      <c r="AL75" s="28"/>
      <c r="AR75" s="22"/>
    </row>
    <row r="76" spans="1:44" x14ac:dyDescent="0.3">
      <c r="A76" s="64" t="s">
        <v>187</v>
      </c>
      <c r="B76" s="8" t="s">
        <v>178</v>
      </c>
      <c r="C76" s="8" t="s">
        <v>188</v>
      </c>
      <c r="D76" s="34"/>
      <c r="E76" s="609"/>
      <c r="F76" s="610"/>
      <c r="G76" s="610"/>
      <c r="H76" s="611"/>
      <c r="I76" s="32"/>
      <c r="J76" s="69"/>
      <c r="K76" s="606"/>
      <c r="L76" s="608"/>
      <c r="M76" s="4"/>
      <c r="N76" s="118"/>
      <c r="O76" s="618"/>
      <c r="P76" s="622"/>
      <c r="Q76" s="622"/>
      <c r="R76" s="619"/>
      <c r="S76" s="33"/>
      <c r="T76" s="71"/>
      <c r="U76" s="71"/>
      <c r="V76" s="39"/>
      <c r="W76" s="39"/>
      <c r="X76" s="39"/>
      <c r="Y76" s="39"/>
      <c r="Z76" s="39"/>
      <c r="AA76" s="39"/>
      <c r="AB76" s="39"/>
      <c r="AC76" s="39"/>
      <c r="AD76" s="39"/>
      <c r="AE76" s="39"/>
      <c r="AF76" s="8"/>
      <c r="AI76" s="28"/>
      <c r="AJ76" s="28"/>
      <c r="AK76" s="28"/>
      <c r="AL76" s="28"/>
      <c r="AR76" s="22"/>
    </row>
    <row r="77" spans="1:44" x14ac:dyDescent="0.3">
      <c r="A77" s="64" t="s">
        <v>191</v>
      </c>
      <c r="B77" s="8" t="s">
        <v>192</v>
      </c>
      <c r="C77" s="8" t="s">
        <v>179</v>
      </c>
      <c r="D77" s="34"/>
      <c r="E77" s="609"/>
      <c r="F77" s="610"/>
      <c r="G77" s="610"/>
      <c r="H77" s="611"/>
      <c r="I77" s="32"/>
      <c r="J77" s="69"/>
      <c r="K77" s="606"/>
      <c r="L77" s="608"/>
      <c r="M77" s="4"/>
      <c r="N77" s="118"/>
      <c r="O77" s="618"/>
      <c r="P77" s="622"/>
      <c r="Q77" s="622"/>
      <c r="R77" s="619"/>
      <c r="S77" s="33"/>
      <c r="T77" s="71"/>
      <c r="U77" s="71"/>
      <c r="V77" s="39"/>
      <c r="W77" s="39"/>
      <c r="X77" s="39"/>
      <c r="Y77" s="39"/>
      <c r="Z77" s="39"/>
      <c r="AA77" s="39"/>
      <c r="AB77" s="39"/>
      <c r="AC77" s="39"/>
      <c r="AD77" s="39"/>
      <c r="AE77" s="39"/>
      <c r="AF77" s="8"/>
      <c r="AI77" s="28"/>
      <c r="AJ77" s="28"/>
      <c r="AK77" s="28"/>
      <c r="AL77" s="28"/>
      <c r="AR77" s="22"/>
    </row>
    <row r="78" spans="1:44" x14ac:dyDescent="0.3">
      <c r="A78" s="64" t="s">
        <v>195</v>
      </c>
      <c r="B78" s="8" t="s">
        <v>196</v>
      </c>
      <c r="C78" s="8" t="s">
        <v>197</v>
      </c>
      <c r="D78" s="34"/>
      <c r="E78" s="609"/>
      <c r="F78" s="610"/>
      <c r="G78" s="610"/>
      <c r="H78" s="611"/>
      <c r="I78" s="32"/>
      <c r="J78" s="69"/>
      <c r="K78" s="606"/>
      <c r="L78" s="608"/>
      <c r="M78" s="4"/>
      <c r="N78" s="118"/>
      <c r="O78" s="618"/>
      <c r="P78" s="622"/>
      <c r="Q78" s="622"/>
      <c r="R78" s="619"/>
      <c r="S78" s="33"/>
      <c r="T78" s="71"/>
      <c r="U78" s="71"/>
      <c r="V78" s="39"/>
      <c r="W78" s="39"/>
      <c r="X78" s="39"/>
      <c r="Y78" s="39"/>
      <c r="Z78" s="39"/>
      <c r="AA78" s="39"/>
      <c r="AB78" s="39"/>
      <c r="AC78" s="39"/>
      <c r="AD78" s="39"/>
      <c r="AE78" s="39"/>
      <c r="AF78" s="8"/>
      <c r="AI78" s="28"/>
      <c r="AJ78" s="28"/>
      <c r="AK78" s="28"/>
      <c r="AL78" s="28"/>
      <c r="AR78" s="22"/>
    </row>
    <row r="79" spans="1:44" x14ac:dyDescent="0.3">
      <c r="A79" s="64" t="s">
        <v>201</v>
      </c>
      <c r="B79" s="8" t="s">
        <v>192</v>
      </c>
      <c r="C79" s="8" t="s">
        <v>371</v>
      </c>
      <c r="D79" s="34"/>
      <c r="E79" s="609"/>
      <c r="F79" s="610"/>
      <c r="G79" s="610"/>
      <c r="H79" s="611"/>
      <c r="I79" s="32"/>
      <c r="J79" s="69"/>
      <c r="K79" s="606"/>
      <c r="L79" s="608"/>
      <c r="M79" s="4"/>
      <c r="N79" s="118"/>
      <c r="O79" s="618"/>
      <c r="P79" s="622"/>
      <c r="Q79" s="622"/>
      <c r="R79" s="619"/>
      <c r="S79" s="33"/>
      <c r="T79" s="71"/>
      <c r="U79" s="71"/>
      <c r="V79" s="39"/>
      <c r="W79" s="39"/>
      <c r="X79" s="39"/>
      <c r="Y79" s="39"/>
      <c r="Z79" s="39"/>
      <c r="AA79" s="39"/>
      <c r="AB79" s="39"/>
      <c r="AC79" s="39"/>
      <c r="AD79" s="39"/>
      <c r="AE79" s="39"/>
      <c r="AF79" s="8"/>
      <c r="AI79" s="28"/>
      <c r="AJ79" s="28"/>
      <c r="AK79" s="28"/>
      <c r="AL79" s="28"/>
      <c r="AR79" s="22"/>
    </row>
    <row r="80" spans="1:44" x14ac:dyDescent="0.3">
      <c r="A80" s="64" t="s">
        <v>205</v>
      </c>
      <c r="B80" s="8" t="s">
        <v>196</v>
      </c>
      <c r="C80" s="8" t="s">
        <v>206</v>
      </c>
      <c r="D80" s="34"/>
      <c r="E80" s="609"/>
      <c r="F80" s="610"/>
      <c r="G80" s="610"/>
      <c r="H80" s="611"/>
      <c r="I80" s="32"/>
      <c r="J80" s="69"/>
      <c r="K80" s="606"/>
      <c r="L80" s="608"/>
      <c r="M80" s="4"/>
      <c r="N80" s="118"/>
      <c r="O80" s="618"/>
      <c r="P80" s="622"/>
      <c r="Q80" s="622"/>
      <c r="R80" s="619"/>
      <c r="S80" s="33"/>
      <c r="T80" s="71"/>
      <c r="U80" s="71"/>
      <c r="V80" s="39"/>
      <c r="W80" s="39"/>
      <c r="X80" s="39"/>
      <c r="Y80" s="39"/>
      <c r="Z80" s="39"/>
      <c r="AA80" s="39"/>
      <c r="AB80" s="39"/>
      <c r="AC80" s="39"/>
      <c r="AD80" s="39"/>
      <c r="AE80" s="39"/>
      <c r="AF80" s="8"/>
      <c r="AI80" s="28"/>
      <c r="AJ80" s="28"/>
      <c r="AK80" s="28"/>
      <c r="AL80" s="28"/>
      <c r="AR80" s="22"/>
    </row>
    <row r="81" spans="1:44" x14ac:dyDescent="0.3">
      <c r="A81" s="64" t="s">
        <v>209</v>
      </c>
      <c r="B81" s="8" t="s">
        <v>210</v>
      </c>
      <c r="C81" s="8" t="s">
        <v>188</v>
      </c>
      <c r="D81" s="34"/>
      <c r="E81" s="609"/>
      <c r="F81" s="610"/>
      <c r="G81" s="610"/>
      <c r="H81" s="611"/>
      <c r="I81" s="32"/>
      <c r="J81" s="69"/>
      <c r="K81" s="606"/>
      <c r="L81" s="608"/>
      <c r="M81" s="4"/>
      <c r="N81" s="118"/>
      <c r="O81" s="618"/>
      <c r="P81" s="622"/>
      <c r="Q81" s="622"/>
      <c r="R81" s="619"/>
      <c r="S81" s="33"/>
      <c r="T81" s="71"/>
      <c r="U81" s="71"/>
      <c r="V81" s="39"/>
      <c r="W81" s="39"/>
      <c r="X81" s="39"/>
      <c r="Y81" s="39"/>
      <c r="Z81" s="39"/>
      <c r="AA81" s="39"/>
      <c r="AB81" s="39"/>
      <c r="AC81" s="39"/>
      <c r="AD81" s="39"/>
      <c r="AE81" s="39"/>
      <c r="AF81" s="8"/>
      <c r="AI81" s="28"/>
      <c r="AJ81" s="28"/>
      <c r="AK81" s="28"/>
      <c r="AL81" s="28"/>
      <c r="AR81" s="22"/>
    </row>
    <row r="82" spans="1:44" x14ac:dyDescent="0.3">
      <c r="A82" s="64" t="s">
        <v>213</v>
      </c>
      <c r="B82" s="8" t="s">
        <v>178</v>
      </c>
      <c r="C82" s="8" t="s">
        <v>179</v>
      </c>
      <c r="D82" s="34" t="s">
        <v>372</v>
      </c>
      <c r="E82" s="606" t="s">
        <v>373</v>
      </c>
      <c r="F82" s="607"/>
      <c r="G82" s="607"/>
      <c r="H82" s="608"/>
      <c r="I82" s="32"/>
      <c r="J82" s="69"/>
      <c r="K82" s="606"/>
      <c r="L82" s="608"/>
      <c r="M82" s="4"/>
      <c r="N82" s="118"/>
      <c r="O82" s="618"/>
      <c r="P82" s="622"/>
      <c r="Q82" s="622"/>
      <c r="R82" s="619"/>
      <c r="S82" s="33"/>
      <c r="T82" s="71">
        <v>0.1</v>
      </c>
      <c r="U82" s="71">
        <v>0.2</v>
      </c>
      <c r="V82" s="39">
        <v>0.08</v>
      </c>
      <c r="W82" s="39">
        <v>0.04</v>
      </c>
      <c r="X82" s="39">
        <v>0.02</v>
      </c>
      <c r="Y82" s="39">
        <v>0.02</v>
      </c>
      <c r="Z82" s="39">
        <v>0.02</v>
      </c>
      <c r="AA82" s="39">
        <v>0.01</v>
      </c>
      <c r="AB82" s="39">
        <v>0.51</v>
      </c>
      <c r="AC82" s="39">
        <v>0</v>
      </c>
      <c r="AD82" s="39">
        <v>0</v>
      </c>
      <c r="AE82" s="39">
        <v>0</v>
      </c>
      <c r="AF82" s="68" t="s">
        <v>373</v>
      </c>
      <c r="AI82" s="28"/>
      <c r="AJ82" s="28"/>
      <c r="AK82" s="28"/>
      <c r="AL82" s="28"/>
      <c r="AR82" s="22"/>
    </row>
    <row r="83" spans="1:44" x14ac:dyDescent="0.3">
      <c r="A83" s="64" t="s">
        <v>217</v>
      </c>
      <c r="B83" s="8" t="s">
        <v>178</v>
      </c>
      <c r="C83" s="8" t="s">
        <v>218</v>
      </c>
      <c r="D83" s="34"/>
      <c r="E83" s="609"/>
      <c r="F83" s="610"/>
      <c r="G83" s="610"/>
      <c r="H83" s="611"/>
      <c r="I83" s="32"/>
      <c r="J83" s="69">
        <v>4</v>
      </c>
      <c r="K83" s="618" t="s">
        <v>374</v>
      </c>
      <c r="L83" s="619"/>
      <c r="M83" s="4"/>
      <c r="N83" s="118"/>
      <c r="O83" s="618"/>
      <c r="P83" s="622"/>
      <c r="Q83" s="622"/>
      <c r="R83" s="619"/>
      <c r="S83" s="33"/>
      <c r="T83" s="71"/>
      <c r="U83" s="71"/>
      <c r="V83" s="39"/>
      <c r="W83" s="39"/>
      <c r="X83" s="39"/>
      <c r="Y83" s="39"/>
      <c r="Z83" s="39"/>
      <c r="AA83" s="39"/>
      <c r="AB83" s="39"/>
      <c r="AC83" s="39"/>
      <c r="AD83" s="39"/>
      <c r="AE83" s="39"/>
      <c r="AF83" s="8"/>
      <c r="AI83" s="28"/>
      <c r="AJ83" s="28"/>
      <c r="AK83" s="28"/>
      <c r="AL83" s="28"/>
      <c r="AR83" s="22"/>
    </row>
    <row r="84" spans="1:44" x14ac:dyDescent="0.3">
      <c r="A84" s="64" t="s">
        <v>217</v>
      </c>
      <c r="B84" s="8" t="s">
        <v>192</v>
      </c>
      <c r="C84" s="8" t="s">
        <v>218</v>
      </c>
      <c r="D84" s="34"/>
      <c r="E84" s="609"/>
      <c r="F84" s="610"/>
      <c r="G84" s="610"/>
      <c r="H84" s="611"/>
      <c r="I84" s="32"/>
      <c r="J84" s="69"/>
      <c r="K84" s="618"/>
      <c r="L84" s="619"/>
      <c r="M84" s="4"/>
      <c r="N84" s="118">
        <v>8.9999999999999993E-3</v>
      </c>
      <c r="O84" s="618" t="s">
        <v>375</v>
      </c>
      <c r="P84" s="622"/>
      <c r="Q84" s="622"/>
      <c r="R84" s="619"/>
      <c r="S84" s="33"/>
      <c r="T84" s="71"/>
      <c r="U84" s="71"/>
      <c r="V84" s="39"/>
      <c r="W84" s="39"/>
      <c r="X84" s="39"/>
      <c r="Y84" s="39"/>
      <c r="Z84" s="39"/>
      <c r="AA84" s="39"/>
      <c r="AB84" s="39"/>
      <c r="AC84" s="39"/>
      <c r="AD84" s="39"/>
      <c r="AE84" s="39"/>
      <c r="AF84" s="8"/>
      <c r="AJ84" s="28"/>
      <c r="AK84" s="28"/>
      <c r="AL84" s="28"/>
      <c r="AR84" s="22"/>
    </row>
    <row r="85" spans="1:44" x14ac:dyDescent="0.3">
      <c r="A85" s="64" t="s">
        <v>217</v>
      </c>
      <c r="B85" s="8" t="s">
        <v>196</v>
      </c>
      <c r="C85" s="8" t="s">
        <v>218</v>
      </c>
      <c r="D85" s="34" t="s">
        <v>784</v>
      </c>
      <c r="E85" s="606" t="s">
        <v>800</v>
      </c>
      <c r="F85" s="607"/>
      <c r="G85" s="607"/>
      <c r="H85" s="608"/>
      <c r="I85" s="32"/>
      <c r="J85" s="69"/>
      <c r="K85" s="618"/>
      <c r="L85" s="619"/>
      <c r="M85" s="4"/>
      <c r="N85" s="118">
        <v>6.0990480000000001E-3</v>
      </c>
      <c r="O85" s="618" t="s">
        <v>800</v>
      </c>
      <c r="P85" s="622"/>
      <c r="Q85" s="622"/>
      <c r="R85" s="619"/>
      <c r="S85" s="33"/>
      <c r="T85" s="71">
        <v>0</v>
      </c>
      <c r="U85" s="71">
        <v>2.0651864999999998E-3</v>
      </c>
      <c r="V85" s="118">
        <v>1.1659889099999999E-2</v>
      </c>
      <c r="W85" s="118">
        <v>2.2746493100000001E-2</v>
      </c>
      <c r="X85" s="118">
        <v>2.0707584800000001E-2</v>
      </c>
      <c r="Y85" s="118">
        <v>2.2594390799999999E-2</v>
      </c>
      <c r="Z85" s="118">
        <v>2.1011624499999999E-2</v>
      </c>
      <c r="AA85" s="118">
        <v>1.24015073E-2</v>
      </c>
      <c r="AB85" s="118">
        <v>0.88681332390000001</v>
      </c>
      <c r="AC85" s="118">
        <v>0</v>
      </c>
      <c r="AD85" s="118">
        <v>0</v>
      </c>
      <c r="AE85" s="118">
        <v>0</v>
      </c>
      <c r="AF85" s="8" t="s">
        <v>800</v>
      </c>
      <c r="AJ85" s="28"/>
      <c r="AK85" s="28"/>
      <c r="AL85" s="28"/>
      <c r="AR85" s="22"/>
    </row>
    <row r="86" spans="1:44" x14ac:dyDescent="0.3">
      <c r="A86" s="64" t="s">
        <v>221</v>
      </c>
      <c r="B86" s="8" t="s">
        <v>178</v>
      </c>
      <c r="C86" s="8" t="s">
        <v>197</v>
      </c>
      <c r="D86" s="34"/>
      <c r="E86" s="609"/>
      <c r="F86" s="610"/>
      <c r="G86" s="610"/>
      <c r="H86" s="611"/>
      <c r="I86" s="32"/>
      <c r="J86" s="69"/>
      <c r="K86" s="606"/>
      <c r="L86" s="608"/>
      <c r="M86" s="4"/>
      <c r="N86" s="118"/>
      <c r="O86" s="642"/>
      <c r="P86" s="643"/>
      <c r="Q86" s="643"/>
      <c r="R86" s="644"/>
      <c r="S86" s="33"/>
      <c r="T86" s="71"/>
      <c r="U86" s="71"/>
      <c r="V86" s="39"/>
      <c r="W86" s="39"/>
      <c r="X86" s="39"/>
      <c r="Y86" s="39"/>
      <c r="Z86" s="39"/>
      <c r="AA86" s="39"/>
      <c r="AB86" s="39"/>
      <c r="AC86" s="39"/>
      <c r="AD86" s="39"/>
      <c r="AE86" s="39"/>
      <c r="AF86" s="68"/>
      <c r="AJ86" s="28"/>
      <c r="AK86" s="28"/>
      <c r="AL86" s="28"/>
      <c r="AR86" s="22"/>
    </row>
    <row r="87" spans="1:44" x14ac:dyDescent="0.3">
      <c r="A87" s="64" t="s">
        <v>224</v>
      </c>
      <c r="B87" s="8" t="s">
        <v>196</v>
      </c>
      <c r="C87" s="8" t="s">
        <v>179</v>
      </c>
      <c r="D87" s="34"/>
      <c r="E87" s="609"/>
      <c r="F87" s="610"/>
      <c r="G87" s="610"/>
      <c r="H87" s="611"/>
      <c r="I87" s="32"/>
      <c r="J87" s="69"/>
      <c r="K87" s="606"/>
      <c r="L87" s="608"/>
      <c r="M87" s="4"/>
      <c r="N87" s="118"/>
      <c r="O87" s="642"/>
      <c r="P87" s="643"/>
      <c r="Q87" s="643"/>
      <c r="R87" s="644"/>
      <c r="S87" s="33"/>
      <c r="T87" s="71"/>
      <c r="U87" s="71"/>
      <c r="V87" s="39"/>
      <c r="W87" s="39"/>
      <c r="X87" s="39"/>
      <c r="Y87" s="39"/>
      <c r="Z87" s="39"/>
      <c r="AA87" s="39"/>
      <c r="AB87" s="39"/>
      <c r="AC87" s="39"/>
      <c r="AD87" s="39"/>
      <c r="AE87" s="39"/>
      <c r="AF87" s="68"/>
      <c r="AJ87" s="28"/>
      <c r="AK87" s="28"/>
      <c r="AL87" s="28"/>
      <c r="AR87" s="22"/>
    </row>
    <row r="88" spans="1:44" x14ac:dyDescent="0.3">
      <c r="A88" s="64" t="s">
        <v>228</v>
      </c>
      <c r="B88" s="8" t="s">
        <v>214</v>
      </c>
      <c r="C88" s="8" t="s">
        <v>218</v>
      </c>
      <c r="D88" s="34"/>
      <c r="E88" s="609"/>
      <c r="F88" s="610"/>
      <c r="G88" s="610"/>
      <c r="H88" s="611"/>
      <c r="I88" s="32"/>
      <c r="J88" s="69"/>
      <c r="K88" s="606"/>
      <c r="L88" s="608"/>
      <c r="M88" s="4"/>
      <c r="N88" s="118"/>
      <c r="O88" s="642"/>
      <c r="P88" s="643"/>
      <c r="Q88" s="643"/>
      <c r="R88" s="644"/>
      <c r="S88" s="33"/>
      <c r="T88" s="71"/>
      <c r="U88" s="71"/>
      <c r="V88" s="39"/>
      <c r="W88" s="39"/>
      <c r="X88" s="39"/>
      <c r="Y88" s="39"/>
      <c r="Z88" s="39"/>
      <c r="AA88" s="39"/>
      <c r="AB88" s="39"/>
      <c r="AC88" s="39"/>
      <c r="AD88" s="39"/>
      <c r="AE88" s="39"/>
      <c r="AF88" s="68"/>
      <c r="AJ88" s="28"/>
      <c r="AK88" s="28"/>
      <c r="AL88" s="28"/>
      <c r="AR88" s="22"/>
    </row>
    <row r="89" spans="1:44" x14ac:dyDescent="0.3">
      <c r="A89" s="64" t="s">
        <v>232</v>
      </c>
      <c r="B89" s="8" t="s">
        <v>178</v>
      </c>
      <c r="C89" s="8" t="s">
        <v>197</v>
      </c>
      <c r="D89" s="34"/>
      <c r="E89" s="609"/>
      <c r="F89" s="610"/>
      <c r="G89" s="610"/>
      <c r="H89" s="611"/>
      <c r="I89" s="32"/>
      <c r="J89" s="69"/>
      <c r="K89" s="606"/>
      <c r="L89" s="608"/>
      <c r="M89" s="4"/>
      <c r="N89" s="118"/>
      <c r="O89" s="642"/>
      <c r="P89" s="643"/>
      <c r="Q89" s="643"/>
      <c r="R89" s="644"/>
      <c r="S89" s="33"/>
      <c r="T89" s="71"/>
      <c r="U89" s="71"/>
      <c r="V89" s="39"/>
      <c r="W89" s="39"/>
      <c r="X89" s="39"/>
      <c r="Y89" s="39"/>
      <c r="Z89" s="39"/>
      <c r="AA89" s="39"/>
      <c r="AB89" s="39"/>
      <c r="AC89" s="39"/>
      <c r="AD89" s="39"/>
      <c r="AE89" s="39"/>
      <c r="AF89" s="68"/>
      <c r="AJ89" s="28"/>
      <c r="AK89" s="28"/>
      <c r="AL89" s="28"/>
      <c r="AR89" s="22"/>
    </row>
    <row r="90" spans="1:44" x14ac:dyDescent="0.3">
      <c r="A90" s="64" t="s">
        <v>235</v>
      </c>
      <c r="B90" s="8" t="s">
        <v>196</v>
      </c>
      <c r="C90" s="8" t="s">
        <v>179</v>
      </c>
      <c r="D90" s="34"/>
      <c r="E90" s="609"/>
      <c r="F90" s="610"/>
      <c r="G90" s="610"/>
      <c r="H90" s="611"/>
      <c r="I90" s="32"/>
      <c r="J90" s="69"/>
      <c r="K90" s="606"/>
      <c r="L90" s="608"/>
      <c r="M90" s="4"/>
      <c r="N90" s="118">
        <v>1E-3</v>
      </c>
      <c r="O90" s="618" t="s">
        <v>375</v>
      </c>
      <c r="P90" s="622"/>
      <c r="Q90" s="622"/>
      <c r="R90" s="619"/>
      <c r="S90" s="33"/>
      <c r="T90" s="71"/>
      <c r="U90" s="71"/>
      <c r="V90" s="71"/>
      <c r="W90" s="71"/>
      <c r="X90" s="71"/>
      <c r="Y90" s="71"/>
      <c r="Z90" s="71"/>
      <c r="AA90" s="71"/>
      <c r="AB90" s="71"/>
      <c r="AC90" s="39"/>
      <c r="AD90" s="39"/>
      <c r="AE90" s="39"/>
      <c r="AF90" s="68"/>
      <c r="AJ90" s="28"/>
      <c r="AK90" s="28"/>
      <c r="AL90" s="28"/>
      <c r="AR90" s="22"/>
    </row>
    <row r="91" spans="1:44" s="84" customFormat="1" x14ac:dyDescent="0.3">
      <c r="A91" s="418" t="s">
        <v>235</v>
      </c>
      <c r="B91" s="199" t="s">
        <v>196</v>
      </c>
      <c r="C91" s="199" t="s">
        <v>179</v>
      </c>
      <c r="D91" s="419" t="s">
        <v>785</v>
      </c>
      <c r="E91" s="648" t="s">
        <v>800</v>
      </c>
      <c r="F91" s="649"/>
      <c r="G91" s="649"/>
      <c r="H91" s="650"/>
      <c r="I91" s="427"/>
      <c r="J91" s="420"/>
      <c r="K91" s="428"/>
      <c r="L91" s="429"/>
      <c r="M91" s="430"/>
      <c r="N91" s="421">
        <v>1.7446670000000001E-3</v>
      </c>
      <c r="O91" s="648" t="s">
        <v>800</v>
      </c>
      <c r="P91" s="649"/>
      <c r="Q91" s="649"/>
      <c r="R91" s="650"/>
      <c r="S91" s="205"/>
      <c r="T91" s="422">
        <v>0</v>
      </c>
      <c r="U91" s="422">
        <v>0.52340752719999994</v>
      </c>
      <c r="V91" s="421">
        <v>0.2127458401</v>
      </c>
      <c r="W91" s="421">
        <v>1.62127569E-2</v>
      </c>
      <c r="X91" s="421">
        <v>3.3569474E-3</v>
      </c>
      <c r="Y91" s="421">
        <v>1.3196778000000001E-3</v>
      </c>
      <c r="Z91" s="421">
        <v>6.6403359999999995E-4</v>
      </c>
      <c r="AA91" s="421">
        <v>3.28843E-4</v>
      </c>
      <c r="AB91" s="421">
        <v>0.24196437409999999</v>
      </c>
      <c r="AC91" s="421">
        <v>0</v>
      </c>
      <c r="AD91" s="421">
        <v>0</v>
      </c>
      <c r="AE91" s="421">
        <v>0</v>
      </c>
      <c r="AF91" s="423" t="s">
        <v>800</v>
      </c>
      <c r="AJ91" s="424"/>
      <c r="AK91" s="424"/>
      <c r="AL91" s="424"/>
      <c r="AM91" s="424"/>
      <c r="AN91" s="424"/>
      <c r="AO91" s="424"/>
      <c r="AP91" s="424"/>
    </row>
    <row r="92" spans="1:44" x14ac:dyDescent="0.3">
      <c r="A92" s="64" t="s">
        <v>238</v>
      </c>
      <c r="B92" s="8" t="s">
        <v>192</v>
      </c>
      <c r="C92" s="8" t="s">
        <v>197</v>
      </c>
      <c r="D92" s="34"/>
      <c r="E92" s="609"/>
      <c r="F92" s="610"/>
      <c r="G92" s="610"/>
      <c r="H92" s="611"/>
      <c r="I92" s="32"/>
      <c r="J92" s="69"/>
      <c r="K92" s="606"/>
      <c r="L92" s="608"/>
      <c r="M92" s="4"/>
      <c r="N92" s="118"/>
      <c r="O92" s="642"/>
      <c r="P92" s="643"/>
      <c r="Q92" s="643"/>
      <c r="R92" s="644"/>
      <c r="S92" s="33"/>
      <c r="T92" s="71"/>
      <c r="U92" s="71"/>
      <c r="V92" s="39"/>
      <c r="W92" s="39"/>
      <c r="X92" s="39"/>
      <c r="Y92" s="39"/>
      <c r="Z92" s="39"/>
      <c r="AA92" s="39"/>
      <c r="AB92" s="39"/>
      <c r="AC92" s="39"/>
      <c r="AD92" s="39"/>
      <c r="AE92" s="39"/>
      <c r="AF92" s="68"/>
      <c r="AJ92" s="28"/>
      <c r="AK92" s="28"/>
      <c r="AL92" s="28"/>
      <c r="AR92" s="22"/>
    </row>
    <row r="93" spans="1:44" x14ac:dyDescent="0.3">
      <c r="A93" s="64" t="s">
        <v>241</v>
      </c>
      <c r="B93" s="8" t="s">
        <v>178</v>
      </c>
      <c r="C93" s="8" t="s">
        <v>376</v>
      </c>
      <c r="D93" s="34"/>
      <c r="E93" s="609"/>
      <c r="F93" s="610"/>
      <c r="G93" s="610"/>
      <c r="H93" s="611"/>
      <c r="I93" s="32"/>
      <c r="J93" s="69"/>
      <c r="K93" s="606"/>
      <c r="L93" s="608"/>
      <c r="M93" s="4"/>
      <c r="N93" s="118"/>
      <c r="O93" s="642"/>
      <c r="P93" s="643"/>
      <c r="Q93" s="643"/>
      <c r="R93" s="644"/>
      <c r="S93" s="33"/>
      <c r="T93" s="71"/>
      <c r="U93" s="71"/>
      <c r="V93" s="39"/>
      <c r="W93" s="39"/>
      <c r="X93" s="39"/>
      <c r="Y93" s="39"/>
      <c r="Z93" s="39"/>
      <c r="AA93" s="39"/>
      <c r="AB93" s="39"/>
      <c r="AC93" s="39"/>
      <c r="AD93" s="39"/>
      <c r="AE93" s="39"/>
      <c r="AF93" s="68"/>
      <c r="AJ93" s="28"/>
      <c r="AK93" s="28"/>
      <c r="AL93" s="28"/>
      <c r="AR93" s="22"/>
    </row>
    <row r="94" spans="1:44" x14ac:dyDescent="0.3">
      <c r="A94" s="64" t="s">
        <v>246</v>
      </c>
      <c r="B94" s="8" t="s">
        <v>214</v>
      </c>
      <c r="C94" s="8" t="s">
        <v>218</v>
      </c>
      <c r="D94" s="34"/>
      <c r="E94" s="609"/>
      <c r="F94" s="610"/>
      <c r="G94" s="610"/>
      <c r="H94" s="611"/>
      <c r="I94" s="32"/>
      <c r="J94" s="69"/>
      <c r="K94" s="606"/>
      <c r="L94" s="608"/>
      <c r="M94" s="4"/>
      <c r="N94" s="118"/>
      <c r="O94" s="642"/>
      <c r="P94" s="643"/>
      <c r="Q94" s="643"/>
      <c r="R94" s="644"/>
      <c r="S94" s="33"/>
      <c r="T94" s="71"/>
      <c r="U94" s="71"/>
      <c r="V94" s="39"/>
      <c r="W94" s="39"/>
      <c r="X94" s="39"/>
      <c r="Y94" s="39"/>
      <c r="Z94" s="39"/>
      <c r="AA94" s="39"/>
      <c r="AB94" s="39"/>
      <c r="AC94" s="39"/>
      <c r="AD94" s="39"/>
      <c r="AE94" s="39"/>
      <c r="AF94" s="68"/>
      <c r="AJ94" s="28"/>
      <c r="AK94" s="28"/>
      <c r="AL94" s="28"/>
      <c r="AR94" s="22"/>
    </row>
    <row r="95" spans="1:44" x14ac:dyDescent="0.3">
      <c r="A95" s="64" t="s">
        <v>249</v>
      </c>
      <c r="B95" s="8" t="s">
        <v>250</v>
      </c>
      <c r="C95" s="8" t="s">
        <v>251</v>
      </c>
      <c r="D95" s="34"/>
      <c r="E95" s="609"/>
      <c r="F95" s="610"/>
      <c r="G95" s="610"/>
      <c r="H95" s="611"/>
      <c r="I95" s="32"/>
      <c r="J95" s="69"/>
      <c r="K95" s="606"/>
      <c r="L95" s="608"/>
      <c r="M95" s="4"/>
      <c r="N95" s="118"/>
      <c r="O95" s="642"/>
      <c r="P95" s="643"/>
      <c r="Q95" s="643"/>
      <c r="R95" s="644"/>
      <c r="S95" s="33"/>
      <c r="T95" s="71"/>
      <c r="U95" s="71"/>
      <c r="V95" s="39"/>
      <c r="W95" s="39"/>
      <c r="X95" s="39"/>
      <c r="Y95" s="39"/>
      <c r="Z95" s="39"/>
      <c r="AA95" s="39"/>
      <c r="AB95" s="39"/>
      <c r="AC95" s="39"/>
      <c r="AD95" s="39"/>
      <c r="AE95" s="39"/>
      <c r="AF95" s="68"/>
      <c r="AJ95" s="28"/>
      <c r="AK95" s="28"/>
      <c r="AL95" s="28"/>
      <c r="AR95" s="22"/>
    </row>
    <row r="96" spans="1:44" x14ac:dyDescent="0.3">
      <c r="A96" s="64" t="s">
        <v>253</v>
      </c>
      <c r="B96" s="8" t="s">
        <v>196</v>
      </c>
      <c r="C96" s="8" t="s">
        <v>251</v>
      </c>
      <c r="D96" s="34"/>
      <c r="E96" s="609"/>
      <c r="F96" s="610"/>
      <c r="G96" s="610"/>
      <c r="H96" s="611"/>
      <c r="I96" s="32"/>
      <c r="J96" s="69"/>
      <c r="K96" s="606"/>
      <c r="L96" s="608"/>
      <c r="M96" s="4"/>
      <c r="N96" s="118"/>
      <c r="O96" s="642"/>
      <c r="P96" s="643"/>
      <c r="Q96" s="643"/>
      <c r="R96" s="644"/>
      <c r="S96" s="33"/>
      <c r="T96" s="71"/>
      <c r="U96" s="71"/>
      <c r="V96" s="39"/>
      <c r="W96" s="39"/>
      <c r="X96" s="39"/>
      <c r="Y96" s="39"/>
      <c r="Z96" s="39"/>
      <c r="AA96" s="39"/>
      <c r="AB96" s="39"/>
      <c r="AC96" s="39"/>
      <c r="AD96" s="39"/>
      <c r="AE96" s="39"/>
      <c r="AF96" s="68"/>
      <c r="AJ96" s="28"/>
      <c r="AK96" s="28"/>
      <c r="AL96" s="28"/>
      <c r="AR96" s="22"/>
    </row>
    <row r="97" spans="1:44" x14ac:dyDescent="0.3">
      <c r="A97" s="64" t="s">
        <v>255</v>
      </c>
      <c r="B97" s="8" t="s">
        <v>196</v>
      </c>
      <c r="C97" s="8" t="s">
        <v>179</v>
      </c>
      <c r="D97" s="34" t="s">
        <v>377</v>
      </c>
      <c r="E97" s="615" t="s">
        <v>378</v>
      </c>
      <c r="F97" s="616"/>
      <c r="G97" s="616"/>
      <c r="H97" s="617"/>
      <c r="I97" s="32"/>
      <c r="J97" s="69">
        <v>9.3000000000000007</v>
      </c>
      <c r="K97" s="639" t="s">
        <v>379</v>
      </c>
      <c r="L97" s="640"/>
      <c r="M97" s="4"/>
      <c r="N97" s="118">
        <v>4.0000000000000001E-3</v>
      </c>
      <c r="O97" s="618" t="s">
        <v>379</v>
      </c>
      <c r="P97" s="622"/>
      <c r="Q97" s="622"/>
      <c r="R97" s="619"/>
      <c r="S97" s="33"/>
      <c r="T97" s="71">
        <v>0.35</v>
      </c>
      <c r="U97" s="71">
        <v>0.23</v>
      </c>
      <c r="V97" s="39">
        <v>0.05</v>
      </c>
      <c r="W97" s="39">
        <v>0.02</v>
      </c>
      <c r="X97" s="39">
        <v>0.01</v>
      </c>
      <c r="Y97" s="39">
        <v>0.01</v>
      </c>
      <c r="Z97" s="39">
        <v>0.01</v>
      </c>
      <c r="AA97" s="39">
        <v>0.01</v>
      </c>
      <c r="AB97" s="39">
        <v>0.31</v>
      </c>
      <c r="AC97" s="39">
        <v>0</v>
      </c>
      <c r="AD97" s="39">
        <v>0</v>
      </c>
      <c r="AE97" s="39">
        <v>0</v>
      </c>
      <c r="AF97" s="68" t="s">
        <v>378</v>
      </c>
      <c r="AJ97" s="28"/>
      <c r="AK97" s="28"/>
      <c r="AL97" s="28"/>
      <c r="AR97" s="22"/>
    </row>
    <row r="98" spans="1:44" x14ac:dyDescent="0.3">
      <c r="A98" s="64" t="s">
        <v>255</v>
      </c>
      <c r="B98" s="8" t="s">
        <v>196</v>
      </c>
      <c r="C98" s="8" t="s">
        <v>179</v>
      </c>
      <c r="D98" s="28"/>
      <c r="E98" s="609"/>
      <c r="F98" s="610"/>
      <c r="G98" s="610"/>
      <c r="H98" s="611"/>
      <c r="I98" s="32"/>
      <c r="J98" s="69">
        <v>8.6999999999999993</v>
      </c>
      <c r="K98" s="618" t="s">
        <v>378</v>
      </c>
      <c r="L98" s="619"/>
      <c r="M98" s="4"/>
      <c r="N98" s="118">
        <v>2E-3</v>
      </c>
      <c r="O98" s="618" t="s">
        <v>378</v>
      </c>
      <c r="P98" s="622"/>
      <c r="Q98" s="622"/>
      <c r="R98" s="619"/>
      <c r="S98" s="33"/>
      <c r="T98" s="71"/>
      <c r="U98" s="71"/>
      <c r="V98" s="39"/>
      <c r="W98" s="39"/>
      <c r="X98" s="39"/>
      <c r="Y98" s="39"/>
      <c r="Z98" s="39"/>
      <c r="AA98" s="39"/>
      <c r="AB98" s="39"/>
      <c r="AC98" s="39"/>
      <c r="AD98" s="39"/>
      <c r="AE98" s="39"/>
      <c r="AF98" s="68"/>
      <c r="AJ98" s="28"/>
      <c r="AK98" s="28"/>
      <c r="AL98" s="28"/>
      <c r="AR98" s="22"/>
    </row>
    <row r="99" spans="1:44" x14ac:dyDescent="0.3">
      <c r="A99" s="64" t="s">
        <v>255</v>
      </c>
      <c r="B99" s="8" t="s">
        <v>196</v>
      </c>
      <c r="C99" s="8" t="s">
        <v>179</v>
      </c>
      <c r="D99" s="34"/>
      <c r="E99" s="609"/>
      <c r="F99" s="610"/>
      <c r="G99" s="610"/>
      <c r="H99" s="611"/>
      <c r="I99" s="32"/>
      <c r="J99" s="69">
        <v>9.1999999999999993</v>
      </c>
      <c r="K99" s="618" t="s">
        <v>380</v>
      </c>
      <c r="L99" s="619"/>
      <c r="M99" s="4"/>
      <c r="N99" s="118">
        <v>1.6000000000000001E-3</v>
      </c>
      <c r="O99" s="618" t="s">
        <v>381</v>
      </c>
      <c r="P99" s="622"/>
      <c r="Q99" s="622"/>
      <c r="R99" s="619"/>
      <c r="S99" s="33"/>
      <c r="T99" s="71"/>
      <c r="U99" s="71"/>
      <c r="V99" s="39"/>
      <c r="W99" s="39"/>
      <c r="X99" s="39"/>
      <c r="Y99" s="39"/>
      <c r="Z99" s="39"/>
      <c r="AA99" s="39"/>
      <c r="AB99" s="39"/>
      <c r="AC99" s="39"/>
      <c r="AD99" s="39"/>
      <c r="AE99" s="39"/>
      <c r="AF99" s="68"/>
      <c r="AJ99" s="28"/>
      <c r="AK99" s="28"/>
      <c r="AL99" s="28"/>
      <c r="AR99" s="22"/>
    </row>
    <row r="100" spans="1:44" x14ac:dyDescent="0.3">
      <c r="A100" s="64" t="s">
        <v>255</v>
      </c>
      <c r="B100" s="8" t="s">
        <v>196</v>
      </c>
      <c r="C100" s="8" t="s">
        <v>179</v>
      </c>
      <c r="D100" s="34"/>
      <c r="E100" s="609"/>
      <c r="F100" s="610"/>
      <c r="G100" s="610"/>
      <c r="H100" s="611"/>
      <c r="I100" s="32"/>
      <c r="J100" s="69">
        <v>18.399999999999999</v>
      </c>
      <c r="K100" s="618" t="s">
        <v>382</v>
      </c>
      <c r="L100" s="619"/>
      <c r="M100" s="4"/>
      <c r="N100" s="118">
        <v>1.0999999999999999E-2</v>
      </c>
      <c r="O100" s="618" t="s">
        <v>382</v>
      </c>
      <c r="P100" s="622"/>
      <c r="Q100" s="622"/>
      <c r="R100" s="619"/>
      <c r="S100" s="33"/>
      <c r="T100" s="71"/>
      <c r="U100" s="71"/>
      <c r="V100" s="39"/>
      <c r="W100" s="39"/>
      <c r="X100" s="39"/>
      <c r="Y100" s="39"/>
      <c r="Z100" s="39"/>
      <c r="AA100" s="39"/>
      <c r="AB100" s="39"/>
      <c r="AC100" s="39"/>
      <c r="AD100" s="39"/>
      <c r="AE100" s="39"/>
      <c r="AF100" s="68"/>
      <c r="AJ100" s="28"/>
      <c r="AK100" s="28"/>
      <c r="AL100" s="28"/>
      <c r="AR100" s="22"/>
    </row>
    <row r="101" spans="1:44" x14ac:dyDescent="0.3">
      <c r="A101" s="64" t="s">
        <v>255</v>
      </c>
      <c r="B101" s="8" t="s">
        <v>196</v>
      </c>
      <c r="C101" s="8" t="s">
        <v>179</v>
      </c>
      <c r="D101" s="34"/>
      <c r="E101" s="609"/>
      <c r="F101" s="610"/>
      <c r="G101" s="610"/>
      <c r="H101" s="611"/>
      <c r="I101" s="32"/>
      <c r="J101" s="69">
        <v>7.8</v>
      </c>
      <c r="K101" s="618" t="s">
        <v>382</v>
      </c>
      <c r="L101" s="619"/>
      <c r="M101" s="4"/>
      <c r="N101" s="118">
        <v>5.7000000000000002E-3</v>
      </c>
      <c r="O101" s="618" t="s">
        <v>383</v>
      </c>
      <c r="P101" s="622"/>
      <c r="Q101" s="622"/>
      <c r="R101" s="619"/>
      <c r="S101" s="33"/>
      <c r="T101" s="71"/>
      <c r="U101" s="71"/>
      <c r="V101" s="39"/>
      <c r="W101" s="39"/>
      <c r="X101" s="39"/>
      <c r="Y101" s="39"/>
      <c r="Z101" s="39"/>
      <c r="AA101" s="39"/>
      <c r="AB101" s="39"/>
      <c r="AC101" s="39"/>
      <c r="AD101" s="39"/>
      <c r="AE101" s="39"/>
      <c r="AF101" s="68"/>
      <c r="AJ101" s="28"/>
      <c r="AK101" s="28"/>
      <c r="AL101" s="28"/>
      <c r="AR101" s="22"/>
    </row>
    <row r="102" spans="1:44" x14ac:dyDescent="0.3">
      <c r="A102" s="64" t="s">
        <v>255</v>
      </c>
      <c r="B102" s="8" t="s">
        <v>196</v>
      </c>
      <c r="C102" s="8" t="s">
        <v>179</v>
      </c>
      <c r="D102" s="34"/>
      <c r="E102" s="609"/>
      <c r="F102" s="610"/>
      <c r="G102" s="610"/>
      <c r="H102" s="611"/>
      <c r="I102" s="32"/>
      <c r="J102" s="69">
        <v>8.3000000000000007</v>
      </c>
      <c r="K102" s="618" t="s">
        <v>384</v>
      </c>
      <c r="L102" s="619"/>
      <c r="M102" s="4"/>
      <c r="N102" s="118">
        <v>3.0000000000000001E-3</v>
      </c>
      <c r="O102" s="618" t="s">
        <v>375</v>
      </c>
      <c r="P102" s="622"/>
      <c r="Q102" s="622"/>
      <c r="R102" s="619"/>
      <c r="S102" s="33"/>
      <c r="T102" s="71"/>
      <c r="U102" s="71"/>
      <c r="V102" s="39"/>
      <c r="W102" s="39"/>
      <c r="X102" s="39"/>
      <c r="Y102" s="39"/>
      <c r="Z102" s="39"/>
      <c r="AA102" s="39"/>
      <c r="AB102" s="39"/>
      <c r="AC102" s="39"/>
      <c r="AD102" s="39"/>
      <c r="AE102" s="39"/>
      <c r="AF102" s="68"/>
      <c r="AJ102" s="28"/>
      <c r="AK102" s="28"/>
      <c r="AL102" s="28"/>
      <c r="AR102" s="22"/>
    </row>
    <row r="103" spans="1:44" x14ac:dyDescent="0.3">
      <c r="A103" s="64" t="s">
        <v>255</v>
      </c>
      <c r="B103" s="8" t="s">
        <v>196</v>
      </c>
      <c r="C103" s="8" t="s">
        <v>179</v>
      </c>
      <c r="D103" s="34"/>
      <c r="E103" s="609"/>
      <c r="F103" s="610"/>
      <c r="G103" s="610"/>
      <c r="H103" s="611"/>
      <c r="I103" s="32"/>
      <c r="J103" s="69">
        <v>7</v>
      </c>
      <c r="K103" s="618" t="s">
        <v>385</v>
      </c>
      <c r="L103" s="619"/>
      <c r="M103" s="4"/>
      <c r="N103" s="118">
        <v>2.5000000000000001E-2</v>
      </c>
      <c r="O103" s="618" t="s">
        <v>386</v>
      </c>
      <c r="P103" s="622"/>
      <c r="Q103" s="622"/>
      <c r="R103" s="619"/>
      <c r="S103" s="33"/>
      <c r="T103" s="71"/>
      <c r="U103" s="71"/>
      <c r="V103" s="39"/>
      <c r="W103" s="39"/>
      <c r="X103" s="39"/>
      <c r="Y103" s="39"/>
      <c r="Z103" s="39"/>
      <c r="AA103" s="39"/>
      <c r="AB103" s="39"/>
      <c r="AC103" s="39"/>
      <c r="AD103" s="39"/>
      <c r="AE103" s="39"/>
      <c r="AF103" s="68"/>
      <c r="AJ103" s="28"/>
      <c r="AK103" s="28"/>
      <c r="AL103" s="28"/>
      <c r="AR103" s="22"/>
    </row>
    <row r="104" spans="1:44" x14ac:dyDescent="0.3">
      <c r="A104" s="64" t="s">
        <v>255</v>
      </c>
      <c r="B104" s="8" t="s">
        <v>196</v>
      </c>
      <c r="C104" s="8" t="s">
        <v>179</v>
      </c>
      <c r="D104" s="34"/>
      <c r="E104" s="609"/>
      <c r="F104" s="610"/>
      <c r="G104" s="610"/>
      <c r="H104" s="611"/>
      <c r="I104" s="32"/>
      <c r="J104" s="69">
        <v>11.7</v>
      </c>
      <c r="K104" s="618" t="s">
        <v>387</v>
      </c>
      <c r="L104" s="619"/>
      <c r="M104" s="4"/>
      <c r="N104" s="118">
        <v>1.2E-2</v>
      </c>
      <c r="O104" s="618" t="s">
        <v>387</v>
      </c>
      <c r="P104" s="622"/>
      <c r="Q104" s="622"/>
      <c r="R104" s="619"/>
      <c r="S104" s="33"/>
      <c r="T104" s="71"/>
      <c r="U104" s="71"/>
      <c r="V104" s="39"/>
      <c r="W104" s="39"/>
      <c r="X104" s="39"/>
      <c r="Y104" s="39"/>
      <c r="Z104" s="39"/>
      <c r="AA104" s="39"/>
      <c r="AB104" s="39"/>
      <c r="AC104" s="39"/>
      <c r="AD104" s="39"/>
      <c r="AE104" s="39"/>
      <c r="AF104" s="68"/>
      <c r="AJ104" s="28"/>
      <c r="AK104" s="28"/>
      <c r="AL104" s="28"/>
      <c r="AR104" s="22"/>
    </row>
    <row r="105" spans="1:44" x14ac:dyDescent="0.3">
      <c r="A105" s="64" t="s">
        <v>255</v>
      </c>
      <c r="B105" s="8" t="s">
        <v>210</v>
      </c>
      <c r="C105" s="8" t="s">
        <v>179</v>
      </c>
      <c r="D105" s="34"/>
      <c r="E105" s="609"/>
      <c r="F105" s="610"/>
      <c r="G105" s="610"/>
      <c r="H105" s="611"/>
      <c r="I105" s="32"/>
      <c r="J105" s="69"/>
      <c r="K105" s="618"/>
      <c r="L105" s="619"/>
      <c r="M105" s="4"/>
      <c r="N105" s="118">
        <v>2.8999999999999998E-3</v>
      </c>
      <c r="O105" s="606" t="s">
        <v>388</v>
      </c>
      <c r="P105" s="607"/>
      <c r="Q105" s="607"/>
      <c r="R105" s="608"/>
      <c r="S105" s="33"/>
      <c r="T105" s="71">
        <v>0.19664803371614387</v>
      </c>
      <c r="U105" s="71">
        <v>0.45415606487803445</v>
      </c>
      <c r="V105" s="71">
        <v>5.7117033922448941E-2</v>
      </c>
      <c r="W105" s="71">
        <v>2.696702065997977E-2</v>
      </c>
      <c r="X105" s="71">
        <v>2.8312915680168197E-2</v>
      </c>
      <c r="Y105" s="71">
        <v>2.2104115295065369E-2</v>
      </c>
      <c r="Z105" s="71">
        <v>4.4601192639820708E-3</v>
      </c>
      <c r="AA105" s="71">
        <v>3.1240482950359123E-3</v>
      </c>
      <c r="AB105" s="71">
        <v>0.20711064828914152</v>
      </c>
      <c r="AC105" s="39">
        <v>0</v>
      </c>
      <c r="AD105" s="39">
        <v>0</v>
      </c>
      <c r="AE105" s="39">
        <v>0</v>
      </c>
      <c r="AF105" s="68" t="s">
        <v>389</v>
      </c>
      <c r="AJ105" s="28"/>
      <c r="AK105" s="28"/>
      <c r="AL105" s="28"/>
      <c r="AR105" s="22"/>
    </row>
    <row r="106" spans="1:44" x14ac:dyDescent="0.3">
      <c r="A106" s="64" t="s">
        <v>258</v>
      </c>
      <c r="B106" s="8" t="s">
        <v>259</v>
      </c>
      <c r="C106" s="8" t="s">
        <v>179</v>
      </c>
      <c r="D106" s="34"/>
      <c r="E106" s="609"/>
      <c r="F106" s="610"/>
      <c r="G106" s="610"/>
      <c r="H106" s="611"/>
      <c r="I106" s="32"/>
      <c r="J106" s="69"/>
      <c r="K106" s="618"/>
      <c r="L106" s="619"/>
      <c r="M106" s="4"/>
      <c r="N106" s="118"/>
      <c r="O106" s="642"/>
      <c r="P106" s="643"/>
      <c r="Q106" s="643"/>
      <c r="R106" s="644"/>
      <c r="S106" s="33"/>
      <c r="T106" s="71"/>
      <c r="U106" s="71"/>
      <c r="V106" s="39"/>
      <c r="W106" s="39"/>
      <c r="X106" s="39"/>
      <c r="Y106" s="39"/>
      <c r="Z106" s="39"/>
      <c r="AA106" s="39"/>
      <c r="AB106" s="39"/>
      <c r="AC106" s="39"/>
      <c r="AD106" s="39"/>
      <c r="AE106" s="39"/>
      <c r="AF106" s="68"/>
      <c r="AJ106" s="28"/>
      <c r="AK106" s="28"/>
      <c r="AL106" s="28"/>
      <c r="AR106" s="22"/>
    </row>
    <row r="107" spans="1:44" x14ac:dyDescent="0.3">
      <c r="A107" s="64" t="s">
        <v>261</v>
      </c>
      <c r="B107" s="8" t="s">
        <v>262</v>
      </c>
      <c r="C107" s="8" t="s">
        <v>197</v>
      </c>
      <c r="D107" s="34"/>
      <c r="E107" s="609"/>
      <c r="F107" s="610"/>
      <c r="G107" s="610"/>
      <c r="H107" s="611"/>
      <c r="I107" s="32"/>
      <c r="J107" s="69"/>
      <c r="K107" s="618"/>
      <c r="L107" s="619"/>
      <c r="M107" s="4"/>
      <c r="N107" s="118"/>
      <c r="O107" s="642"/>
      <c r="P107" s="643"/>
      <c r="Q107" s="643"/>
      <c r="R107" s="644"/>
      <c r="S107" s="33"/>
      <c r="T107" s="71"/>
      <c r="U107" s="71"/>
      <c r="V107" s="39"/>
      <c r="W107" s="39"/>
      <c r="X107" s="39"/>
      <c r="Y107" s="39"/>
      <c r="Z107" s="39"/>
      <c r="AA107" s="39"/>
      <c r="AB107" s="39"/>
      <c r="AC107" s="39"/>
      <c r="AD107" s="39"/>
      <c r="AE107" s="39"/>
      <c r="AF107" s="68"/>
      <c r="AJ107" s="28"/>
      <c r="AK107" s="28"/>
      <c r="AL107" s="28"/>
      <c r="AR107" s="22"/>
    </row>
    <row r="108" spans="1:44" x14ac:dyDescent="0.3">
      <c r="A108" s="64" t="s">
        <v>265</v>
      </c>
      <c r="B108" s="8" t="s">
        <v>214</v>
      </c>
      <c r="C108" s="8" t="s">
        <v>179</v>
      </c>
      <c r="D108" s="34"/>
      <c r="E108" s="609"/>
      <c r="F108" s="610"/>
      <c r="G108" s="610"/>
      <c r="H108" s="611"/>
      <c r="I108" s="31"/>
      <c r="J108" s="69"/>
      <c r="K108" s="618"/>
      <c r="L108" s="619"/>
      <c r="M108" s="32"/>
      <c r="N108" s="118"/>
      <c r="O108" s="642"/>
      <c r="P108" s="643"/>
      <c r="Q108" s="643"/>
      <c r="R108" s="644"/>
      <c r="S108" s="4"/>
      <c r="T108" s="71"/>
      <c r="U108" s="71"/>
      <c r="V108" s="71"/>
      <c r="W108" s="71"/>
      <c r="X108" s="39"/>
      <c r="Y108" s="39"/>
      <c r="Z108" s="39"/>
      <c r="AA108" s="39"/>
      <c r="AB108" s="39"/>
      <c r="AC108" s="39"/>
      <c r="AD108" s="39"/>
      <c r="AE108" s="39"/>
      <c r="AF108" s="68"/>
      <c r="AJ108" s="28"/>
      <c r="AK108" s="28"/>
      <c r="AL108" s="28"/>
      <c r="AR108" s="22"/>
    </row>
    <row r="109" spans="1:44" x14ac:dyDescent="0.3">
      <c r="A109" s="64" t="s">
        <v>268</v>
      </c>
      <c r="B109" s="8" t="s">
        <v>192</v>
      </c>
      <c r="C109" s="8" t="s">
        <v>390</v>
      </c>
      <c r="D109" s="34"/>
      <c r="E109" s="609"/>
      <c r="F109" s="610"/>
      <c r="G109" s="610"/>
      <c r="H109" s="611"/>
      <c r="I109" s="31"/>
      <c r="J109" s="69"/>
      <c r="K109" s="618"/>
      <c r="L109" s="619"/>
      <c r="M109" s="32"/>
      <c r="N109" s="118"/>
      <c r="O109" s="642"/>
      <c r="P109" s="643"/>
      <c r="Q109" s="643"/>
      <c r="R109" s="644"/>
      <c r="S109" s="4"/>
      <c r="T109" s="71"/>
      <c r="U109" s="71"/>
      <c r="V109" s="71"/>
      <c r="W109" s="71"/>
      <c r="X109" s="39"/>
      <c r="Y109" s="39"/>
      <c r="Z109" s="39"/>
      <c r="AA109" s="39"/>
      <c r="AB109" s="39"/>
      <c r="AC109" s="39"/>
      <c r="AD109" s="39"/>
      <c r="AE109" s="39"/>
      <c r="AF109" s="68"/>
      <c r="AJ109" s="28"/>
      <c r="AK109" s="28"/>
      <c r="AL109" s="28"/>
      <c r="AR109" s="22"/>
    </row>
    <row r="110" spans="1:44" x14ac:dyDescent="0.3">
      <c r="A110" s="64" t="s">
        <v>272</v>
      </c>
      <c r="B110" s="8" t="s">
        <v>178</v>
      </c>
      <c r="C110" s="8" t="s">
        <v>179</v>
      </c>
      <c r="D110" s="34" t="s">
        <v>391</v>
      </c>
      <c r="E110" s="612" t="s">
        <v>392</v>
      </c>
      <c r="F110" s="613"/>
      <c r="G110" s="613"/>
      <c r="H110" s="614"/>
      <c r="I110" s="31"/>
      <c r="J110" s="69"/>
      <c r="K110" s="618"/>
      <c r="L110" s="619"/>
      <c r="M110" s="32"/>
      <c r="N110" s="118">
        <v>6.8999999999999999E-3</v>
      </c>
      <c r="O110" s="612" t="s">
        <v>392</v>
      </c>
      <c r="P110" s="613"/>
      <c r="Q110" s="613"/>
      <c r="R110" s="614"/>
      <c r="S110" s="4"/>
      <c r="T110" s="71"/>
      <c r="U110" s="71"/>
      <c r="V110" s="71"/>
      <c r="W110" s="71"/>
      <c r="X110" s="39"/>
      <c r="Y110" s="39"/>
      <c r="Z110" s="39"/>
      <c r="AA110" s="39"/>
      <c r="AB110" s="39"/>
      <c r="AC110" s="39"/>
      <c r="AD110" s="39"/>
      <c r="AE110" s="39"/>
      <c r="AF110" s="68"/>
      <c r="AJ110" s="28"/>
      <c r="AK110" s="28"/>
      <c r="AL110" s="28"/>
      <c r="AR110" s="22"/>
    </row>
    <row r="111" spans="1:44" x14ac:dyDescent="0.3">
      <c r="A111" s="64" t="s">
        <v>272</v>
      </c>
      <c r="B111" s="8" t="s">
        <v>210</v>
      </c>
      <c r="C111" s="8" t="s">
        <v>179</v>
      </c>
      <c r="D111" s="34"/>
      <c r="E111" s="612"/>
      <c r="F111" s="613"/>
      <c r="G111" s="613"/>
      <c r="H111" s="614"/>
      <c r="I111" s="31"/>
      <c r="J111" s="69"/>
      <c r="K111" s="618"/>
      <c r="L111" s="619"/>
      <c r="M111" s="32"/>
      <c r="N111" s="118">
        <v>4.1999999999999997E-3</v>
      </c>
      <c r="O111" s="606" t="s">
        <v>388</v>
      </c>
      <c r="P111" s="607"/>
      <c r="Q111" s="607"/>
      <c r="R111" s="608"/>
      <c r="S111" s="4"/>
      <c r="T111" s="71">
        <v>0.61767781093004892</v>
      </c>
      <c r="U111" s="71">
        <v>9.0531201387295035E-2</v>
      </c>
      <c r="V111" s="71">
        <v>6.1918241399535855E-2</v>
      </c>
      <c r="W111" s="71">
        <v>6.3754367174151436E-2</v>
      </c>
      <c r="X111" s="71">
        <v>3.5370922908219173E-2</v>
      </c>
      <c r="Y111" s="71">
        <v>2.7210363909927836E-2</v>
      </c>
      <c r="Z111" s="71">
        <v>1.3439420600311116E-2</v>
      </c>
      <c r="AA111" s="71">
        <v>1.4382985234488509E-2</v>
      </c>
      <c r="AB111" s="71">
        <v>7.5714686456022237E-2</v>
      </c>
      <c r="AC111" s="39">
        <v>0</v>
      </c>
      <c r="AD111" s="39">
        <v>0</v>
      </c>
      <c r="AE111" s="39">
        <v>0</v>
      </c>
      <c r="AF111" s="68" t="s">
        <v>388</v>
      </c>
      <c r="AJ111" s="28"/>
      <c r="AK111" s="28"/>
      <c r="AL111" s="28"/>
      <c r="AR111" s="22"/>
    </row>
    <row r="112" spans="1:44" x14ac:dyDescent="0.3">
      <c r="A112" s="64" t="s">
        <v>275</v>
      </c>
      <c r="B112" s="8" t="s">
        <v>210</v>
      </c>
      <c r="C112" s="8" t="s">
        <v>218</v>
      </c>
      <c r="D112" s="34" t="s">
        <v>393</v>
      </c>
      <c r="E112" s="606" t="s">
        <v>394</v>
      </c>
      <c r="F112" s="607"/>
      <c r="G112" s="607"/>
      <c r="H112" s="608"/>
      <c r="I112" s="31"/>
      <c r="J112" s="69">
        <v>5.7</v>
      </c>
      <c r="K112" s="606" t="s">
        <v>394</v>
      </c>
      <c r="L112" s="608"/>
      <c r="M112" s="32"/>
      <c r="N112" s="118">
        <v>1.2E-2</v>
      </c>
      <c r="O112" s="606" t="s">
        <v>394</v>
      </c>
      <c r="P112" s="607"/>
      <c r="Q112" s="607"/>
      <c r="R112" s="608"/>
      <c r="S112" s="4"/>
      <c r="T112" s="71">
        <v>0</v>
      </c>
      <c r="U112" s="71">
        <v>0.01</v>
      </c>
      <c r="V112" s="71">
        <v>0.01</v>
      </c>
      <c r="W112" s="71">
        <v>0.01</v>
      </c>
      <c r="X112" s="39">
        <v>0.01</v>
      </c>
      <c r="Y112" s="39">
        <v>0.02</v>
      </c>
      <c r="Z112" s="39">
        <v>0.05</v>
      </c>
      <c r="AA112" s="39">
        <v>0.12</v>
      </c>
      <c r="AB112" s="39">
        <v>0.77</v>
      </c>
      <c r="AC112" s="39">
        <v>0</v>
      </c>
      <c r="AD112" s="39">
        <v>0</v>
      </c>
      <c r="AE112" s="39">
        <v>0</v>
      </c>
      <c r="AF112" s="68" t="s">
        <v>394</v>
      </c>
      <c r="AJ112" s="28"/>
      <c r="AK112" s="28"/>
      <c r="AL112" s="28"/>
      <c r="AR112" s="22"/>
    </row>
    <row r="113" spans="1:44" x14ac:dyDescent="0.3">
      <c r="A113" s="64" t="s">
        <v>275</v>
      </c>
      <c r="B113" s="8" t="s">
        <v>210</v>
      </c>
      <c r="C113" s="8" t="s">
        <v>218</v>
      </c>
      <c r="D113" s="34"/>
      <c r="E113" s="606"/>
      <c r="F113" s="607"/>
      <c r="G113" s="607"/>
      <c r="H113" s="608"/>
      <c r="I113" s="31"/>
      <c r="J113" s="69"/>
      <c r="K113" s="606"/>
      <c r="L113" s="608"/>
      <c r="M113" s="32"/>
      <c r="N113" s="118">
        <v>8.0000000000000002E-3</v>
      </c>
      <c r="O113" s="606" t="s">
        <v>388</v>
      </c>
      <c r="P113" s="607"/>
      <c r="Q113" s="607"/>
      <c r="R113" s="608"/>
      <c r="S113" s="4"/>
      <c r="T113" s="71">
        <v>2.2157877947635754E-2</v>
      </c>
      <c r="U113" s="71">
        <v>2.0808284052707779E-2</v>
      </c>
      <c r="V113" s="71">
        <v>2.789978651878389E-2</v>
      </c>
      <c r="W113" s="71">
        <v>8.0484872279341403E-3</v>
      </c>
      <c r="X113" s="71">
        <v>2.073466984025716E-2</v>
      </c>
      <c r="Y113" s="71">
        <v>7.5233725124530693E-2</v>
      </c>
      <c r="Z113" s="71">
        <v>0.1432041812872672</v>
      </c>
      <c r="AA113" s="71">
        <v>0.19282016047898312</v>
      </c>
      <c r="AB113" s="71">
        <v>0.48909282752190025</v>
      </c>
      <c r="AC113" s="39">
        <v>0</v>
      </c>
      <c r="AD113" s="39">
        <v>0</v>
      </c>
      <c r="AE113" s="39">
        <v>0</v>
      </c>
      <c r="AF113" s="68" t="s">
        <v>388</v>
      </c>
      <c r="AJ113" s="28"/>
      <c r="AK113" s="28"/>
      <c r="AL113" s="28"/>
      <c r="AR113" s="22"/>
    </row>
    <row r="114" spans="1:44" x14ac:dyDescent="0.3">
      <c r="A114" s="64" t="s">
        <v>278</v>
      </c>
      <c r="B114" s="8" t="s">
        <v>178</v>
      </c>
      <c r="C114" s="8" t="s">
        <v>251</v>
      </c>
      <c r="D114" s="34"/>
      <c r="E114" s="609"/>
      <c r="F114" s="610"/>
      <c r="G114" s="610"/>
      <c r="H114" s="611"/>
      <c r="I114" s="31"/>
      <c r="J114" s="69"/>
      <c r="K114" s="620"/>
      <c r="L114" s="621"/>
      <c r="M114" s="32"/>
      <c r="N114" s="118"/>
      <c r="O114" s="645"/>
      <c r="P114" s="646"/>
      <c r="Q114" s="646"/>
      <c r="R114" s="647"/>
      <c r="S114" s="4"/>
      <c r="T114" s="71"/>
      <c r="U114" s="71"/>
      <c r="V114" s="71"/>
      <c r="W114" s="71"/>
      <c r="X114" s="39"/>
      <c r="Y114" s="39"/>
      <c r="Z114" s="39"/>
      <c r="AA114" s="39"/>
      <c r="AB114" s="39"/>
      <c r="AC114" s="39"/>
      <c r="AD114" s="39"/>
      <c r="AE114" s="39"/>
      <c r="AF114" s="68"/>
      <c r="AJ114" s="28"/>
      <c r="AK114" s="28"/>
      <c r="AL114" s="28"/>
      <c r="AR114" s="22"/>
    </row>
    <row r="115" spans="1:44" x14ac:dyDescent="0.3">
      <c r="A115" s="64" t="s">
        <v>281</v>
      </c>
      <c r="B115" s="8" t="s">
        <v>214</v>
      </c>
      <c r="C115" s="8" t="s">
        <v>218</v>
      </c>
      <c r="D115" s="34"/>
      <c r="E115" s="609"/>
      <c r="F115" s="610"/>
      <c r="G115" s="610"/>
      <c r="H115" s="611"/>
      <c r="I115" s="31"/>
      <c r="J115" s="69"/>
      <c r="K115" s="620"/>
      <c r="L115" s="621"/>
      <c r="M115" s="32"/>
      <c r="N115" s="118"/>
      <c r="O115" s="645"/>
      <c r="P115" s="646"/>
      <c r="Q115" s="646"/>
      <c r="R115" s="647"/>
      <c r="S115" s="4"/>
      <c r="T115" s="71"/>
      <c r="U115" s="71"/>
      <c r="V115" s="71"/>
      <c r="W115" s="71"/>
      <c r="X115" s="39"/>
      <c r="Y115" s="39"/>
      <c r="Z115" s="39"/>
      <c r="AA115" s="39"/>
      <c r="AB115" s="39"/>
      <c r="AC115" s="39"/>
      <c r="AD115" s="39"/>
      <c r="AE115" s="39"/>
      <c r="AF115" s="68"/>
      <c r="AJ115" s="28"/>
      <c r="AK115" s="28"/>
      <c r="AL115" s="28"/>
      <c r="AR115" s="22"/>
    </row>
    <row r="116" spans="1:44" x14ac:dyDescent="0.3">
      <c r="A116" s="64" t="s">
        <v>284</v>
      </c>
      <c r="B116" s="8" t="s">
        <v>210</v>
      </c>
      <c r="C116" s="8" t="s">
        <v>218</v>
      </c>
      <c r="D116" s="34" t="s">
        <v>395</v>
      </c>
      <c r="E116" s="606" t="s">
        <v>394</v>
      </c>
      <c r="F116" s="607"/>
      <c r="G116" s="607"/>
      <c r="H116" s="608"/>
      <c r="I116" s="31"/>
      <c r="J116" s="69">
        <v>9.6999999999999993</v>
      </c>
      <c r="K116" s="606" t="s">
        <v>394</v>
      </c>
      <c r="L116" s="608"/>
      <c r="M116" s="32"/>
      <c r="N116" s="118">
        <v>4.0000000000000002E-4</v>
      </c>
      <c r="O116" s="606" t="s">
        <v>394</v>
      </c>
      <c r="P116" s="607"/>
      <c r="Q116" s="607"/>
      <c r="R116" s="608"/>
      <c r="S116" s="4"/>
      <c r="T116" s="71">
        <v>0.02</v>
      </c>
      <c r="U116" s="71">
        <v>0.12</v>
      </c>
      <c r="V116" s="71">
        <v>0.03</v>
      </c>
      <c r="W116" s="71">
        <v>0.02</v>
      </c>
      <c r="X116" s="39">
        <v>0.01</v>
      </c>
      <c r="Y116" s="39">
        <v>0.01</v>
      </c>
      <c r="Z116" s="39">
        <v>0.02</v>
      </c>
      <c r="AA116" s="39">
        <v>0.02</v>
      </c>
      <c r="AB116" s="39">
        <v>0.75</v>
      </c>
      <c r="AC116" s="39">
        <v>0</v>
      </c>
      <c r="AD116" s="39">
        <v>0</v>
      </c>
      <c r="AE116" s="39">
        <v>0</v>
      </c>
      <c r="AF116" s="68" t="s">
        <v>394</v>
      </c>
      <c r="AJ116" s="28"/>
      <c r="AK116" s="28"/>
      <c r="AL116" s="28"/>
      <c r="AR116" s="22"/>
    </row>
    <row r="117" spans="1:44" x14ac:dyDescent="0.3">
      <c r="A117" s="64" t="s">
        <v>287</v>
      </c>
      <c r="B117" s="8" t="s">
        <v>250</v>
      </c>
      <c r="C117" s="8" t="s">
        <v>179</v>
      </c>
      <c r="D117" s="34" t="s">
        <v>396</v>
      </c>
      <c r="E117" s="615" t="s">
        <v>392</v>
      </c>
      <c r="F117" s="616"/>
      <c r="G117" s="616"/>
      <c r="H117" s="617"/>
      <c r="I117" s="31"/>
      <c r="J117" s="69"/>
      <c r="K117" s="620"/>
      <c r="L117" s="621"/>
      <c r="M117" s="32"/>
      <c r="N117" s="118">
        <v>1.2999999999999999E-3</v>
      </c>
      <c r="O117" s="615" t="s">
        <v>392</v>
      </c>
      <c r="P117" s="616"/>
      <c r="Q117" s="616"/>
      <c r="R117" s="617"/>
      <c r="S117" s="4"/>
      <c r="T117" s="71"/>
      <c r="U117" s="71"/>
      <c r="V117" s="71"/>
      <c r="W117" s="71"/>
      <c r="X117" s="39"/>
      <c r="Y117" s="39"/>
      <c r="Z117" s="39"/>
      <c r="AA117" s="39"/>
      <c r="AB117" s="39"/>
      <c r="AC117" s="39"/>
      <c r="AD117" s="39"/>
      <c r="AE117" s="39"/>
      <c r="AF117" s="68"/>
      <c r="AJ117" s="28"/>
      <c r="AK117" s="28"/>
      <c r="AL117" s="28"/>
      <c r="AR117" s="22"/>
    </row>
    <row r="118" spans="1:44" x14ac:dyDescent="0.3">
      <c r="A118" s="64" t="s">
        <v>287</v>
      </c>
      <c r="B118" s="8" t="s">
        <v>210</v>
      </c>
      <c r="C118" s="8" t="s">
        <v>179</v>
      </c>
      <c r="D118" s="34"/>
      <c r="E118" s="615"/>
      <c r="F118" s="616"/>
      <c r="G118" s="616"/>
      <c r="H118" s="617"/>
      <c r="I118" s="31"/>
      <c r="J118" s="69"/>
      <c r="K118" s="620"/>
      <c r="L118" s="621"/>
      <c r="M118" s="32"/>
      <c r="N118" s="118">
        <v>1.1000000000000001E-3</v>
      </c>
      <c r="O118" s="606" t="s">
        <v>388</v>
      </c>
      <c r="P118" s="607"/>
      <c r="Q118" s="607"/>
      <c r="R118" s="608"/>
      <c r="S118" s="4"/>
      <c r="T118" s="71">
        <v>0.52572979629792516</v>
      </c>
      <c r="U118" s="71">
        <v>0.12541312188195078</v>
      </c>
      <c r="V118" s="71">
        <v>3.7824999685838863E-2</v>
      </c>
      <c r="W118" s="71">
        <v>1.7216029757341947E-2</v>
      </c>
      <c r="X118" s="71">
        <v>1.0895107882930997E-2</v>
      </c>
      <c r="Y118" s="71">
        <v>5.7302989557283966E-3</v>
      </c>
      <c r="Z118" s="71">
        <v>2.9908139286477305E-3</v>
      </c>
      <c r="AA118" s="71">
        <v>2.613820576297163E-3</v>
      </c>
      <c r="AB118" s="71">
        <v>0.27158601103333879</v>
      </c>
      <c r="AC118" s="39">
        <v>0</v>
      </c>
      <c r="AD118" s="39">
        <v>0</v>
      </c>
      <c r="AE118" s="39">
        <v>0</v>
      </c>
      <c r="AF118" s="68" t="s">
        <v>388</v>
      </c>
      <c r="AJ118" s="28"/>
      <c r="AK118" s="28"/>
      <c r="AL118" s="28"/>
      <c r="AR118" s="22"/>
    </row>
    <row r="119" spans="1:44" x14ac:dyDescent="0.3">
      <c r="A119" s="64" t="s">
        <v>290</v>
      </c>
      <c r="B119" s="8" t="s">
        <v>196</v>
      </c>
      <c r="C119" s="8" t="s">
        <v>179</v>
      </c>
      <c r="D119" s="21"/>
      <c r="E119" s="609"/>
      <c r="F119" s="610"/>
      <c r="G119" s="610"/>
      <c r="H119" s="611"/>
      <c r="I119" s="3"/>
      <c r="J119" s="69"/>
      <c r="K119" s="620"/>
      <c r="L119" s="621"/>
      <c r="M119" s="3"/>
      <c r="N119" s="118"/>
      <c r="O119" s="645"/>
      <c r="P119" s="646"/>
      <c r="Q119" s="646"/>
      <c r="R119" s="647"/>
      <c r="T119" s="39"/>
      <c r="U119" s="39"/>
      <c r="V119" s="39"/>
      <c r="W119" s="39"/>
      <c r="X119" s="39"/>
      <c r="Y119" s="39"/>
      <c r="Z119" s="39"/>
      <c r="AA119" s="39"/>
      <c r="AB119" s="39"/>
      <c r="AC119" s="39"/>
      <c r="AD119" s="39"/>
      <c r="AE119" s="39"/>
      <c r="AF119" s="68"/>
      <c r="AJ119" s="28"/>
      <c r="AK119" s="28"/>
      <c r="AL119" s="28"/>
      <c r="AR119" s="22"/>
    </row>
    <row r="120" spans="1:44" x14ac:dyDescent="0.3">
      <c r="A120" s="64" t="s">
        <v>294</v>
      </c>
      <c r="B120" s="8" t="s">
        <v>192</v>
      </c>
      <c r="C120" s="8" t="s">
        <v>371</v>
      </c>
      <c r="D120" s="21"/>
      <c r="E120" s="609"/>
      <c r="F120" s="610"/>
      <c r="G120" s="610"/>
      <c r="H120" s="611"/>
      <c r="I120" s="3"/>
      <c r="J120" s="69"/>
      <c r="K120" s="620"/>
      <c r="L120" s="621"/>
      <c r="M120" s="3"/>
      <c r="N120" s="118"/>
      <c r="O120" s="645"/>
      <c r="P120" s="646"/>
      <c r="Q120" s="646"/>
      <c r="R120" s="647"/>
      <c r="T120" s="39"/>
      <c r="U120" s="39"/>
      <c r="V120" s="39"/>
      <c r="W120" s="39"/>
      <c r="X120" s="39"/>
      <c r="Y120" s="39"/>
      <c r="Z120" s="39"/>
      <c r="AA120" s="39"/>
      <c r="AB120" s="39"/>
      <c r="AC120" s="39"/>
      <c r="AD120" s="39"/>
      <c r="AE120" s="39"/>
      <c r="AF120" s="68"/>
      <c r="AJ120" s="28"/>
      <c r="AK120" s="28"/>
      <c r="AL120" s="28"/>
      <c r="AR120" s="22"/>
    </row>
    <row r="121" spans="1:44" x14ac:dyDescent="0.3">
      <c r="A121" s="64" t="s">
        <v>295</v>
      </c>
      <c r="B121" s="8" t="s">
        <v>296</v>
      </c>
      <c r="C121" s="8" t="s">
        <v>251</v>
      </c>
      <c r="D121" s="21"/>
      <c r="E121" s="609"/>
      <c r="F121" s="610"/>
      <c r="G121" s="610"/>
      <c r="H121" s="611"/>
      <c r="I121" s="3"/>
      <c r="J121" s="69"/>
      <c r="K121" s="620"/>
      <c r="L121" s="621"/>
      <c r="M121" s="3"/>
      <c r="N121" s="118"/>
      <c r="O121" s="645"/>
      <c r="P121" s="646"/>
      <c r="Q121" s="646"/>
      <c r="R121" s="647"/>
      <c r="T121" s="39"/>
      <c r="U121" s="39"/>
      <c r="V121" s="39"/>
      <c r="W121" s="39"/>
      <c r="X121" s="39"/>
      <c r="Y121" s="39"/>
      <c r="Z121" s="39"/>
      <c r="AA121" s="39"/>
      <c r="AB121" s="39"/>
      <c r="AC121" s="39"/>
      <c r="AD121" s="39"/>
      <c r="AE121" s="39"/>
      <c r="AF121" s="68"/>
      <c r="AJ121" s="28"/>
      <c r="AK121" s="28"/>
      <c r="AL121" s="28"/>
      <c r="AR121" s="22"/>
    </row>
    <row r="122" spans="1:44" ht="17.25" customHeight="1" x14ac:dyDescent="0.3">
      <c r="A122" s="64" t="s">
        <v>297</v>
      </c>
      <c r="B122" s="8" t="s">
        <v>178</v>
      </c>
      <c r="C122" s="8" t="s">
        <v>397</v>
      </c>
      <c r="D122" s="21"/>
      <c r="E122" s="609"/>
      <c r="F122" s="610"/>
      <c r="G122" s="610"/>
      <c r="H122" s="611"/>
      <c r="I122" s="3"/>
      <c r="J122" s="69"/>
      <c r="K122" s="620"/>
      <c r="L122" s="621"/>
      <c r="M122" s="3"/>
      <c r="N122" s="118"/>
      <c r="O122" s="645"/>
      <c r="P122" s="646"/>
      <c r="Q122" s="646"/>
      <c r="R122" s="647"/>
      <c r="T122" s="39"/>
      <c r="U122" s="39"/>
      <c r="V122" s="39"/>
      <c r="W122" s="39"/>
      <c r="X122" s="39"/>
      <c r="Y122" s="39"/>
      <c r="Z122" s="39"/>
      <c r="AA122" s="39"/>
      <c r="AB122" s="39"/>
      <c r="AC122" s="39"/>
      <c r="AD122" s="39"/>
      <c r="AE122" s="39"/>
      <c r="AF122" s="68"/>
      <c r="AJ122" s="28"/>
      <c r="AK122" s="28"/>
      <c r="AL122" s="28"/>
      <c r="AR122" s="22"/>
    </row>
    <row r="123" spans="1:44" x14ac:dyDescent="0.3">
      <c r="A123" s="64" t="s">
        <v>301</v>
      </c>
      <c r="B123" s="8" t="s">
        <v>196</v>
      </c>
      <c r="C123" s="8" t="s">
        <v>218</v>
      </c>
      <c r="D123" s="21"/>
      <c r="E123" s="609"/>
      <c r="F123" s="610"/>
      <c r="G123" s="610"/>
      <c r="H123" s="611"/>
      <c r="I123" s="3"/>
      <c r="J123" s="69">
        <v>1.9</v>
      </c>
      <c r="K123" s="618" t="s">
        <v>398</v>
      </c>
      <c r="L123" s="619"/>
      <c r="M123" s="3"/>
      <c r="N123" s="118">
        <v>7.0000000000000001E-3</v>
      </c>
      <c r="O123" s="618" t="s">
        <v>399</v>
      </c>
      <c r="P123" s="622"/>
      <c r="Q123" s="622"/>
      <c r="R123" s="619"/>
      <c r="T123" s="39"/>
      <c r="U123" s="39"/>
      <c r="V123" s="39"/>
      <c r="W123" s="39"/>
      <c r="X123" s="39"/>
      <c r="Y123" s="39"/>
      <c r="Z123" s="39"/>
      <c r="AA123" s="39"/>
      <c r="AB123" s="39"/>
      <c r="AC123" s="39"/>
      <c r="AD123" s="39"/>
      <c r="AE123" s="39"/>
      <c r="AF123" s="68"/>
      <c r="AJ123" s="28"/>
      <c r="AK123" s="28"/>
      <c r="AL123" s="28"/>
      <c r="AR123" s="22"/>
    </row>
    <row r="124" spans="1:44" x14ac:dyDescent="0.3">
      <c r="A124" s="64" t="s">
        <v>301</v>
      </c>
      <c r="B124" s="8" t="s">
        <v>178</v>
      </c>
      <c r="C124" s="8" t="s">
        <v>218</v>
      </c>
      <c r="D124" s="39" t="s">
        <v>400</v>
      </c>
      <c r="E124" s="612" t="s">
        <v>392</v>
      </c>
      <c r="F124" s="613"/>
      <c r="G124" s="613"/>
      <c r="H124" s="614"/>
      <c r="I124" s="3"/>
      <c r="J124" s="69"/>
      <c r="K124" s="618"/>
      <c r="L124" s="619"/>
      <c r="M124" s="3"/>
      <c r="N124" s="118">
        <v>1.1000000000000001E-3</v>
      </c>
      <c r="O124" s="612" t="s">
        <v>392</v>
      </c>
      <c r="P124" s="613"/>
      <c r="Q124" s="613"/>
      <c r="R124" s="614"/>
      <c r="T124" s="71">
        <v>0.14553049946308375</v>
      </c>
      <c r="U124" s="71">
        <v>0.32086639951808493</v>
      </c>
      <c r="V124" s="71">
        <v>0.134189780257196</v>
      </c>
      <c r="W124" s="71">
        <v>7.6189727875121127E-2</v>
      </c>
      <c r="X124" s="71">
        <v>3.8684162279667887E-2</v>
      </c>
      <c r="Y124" s="71">
        <v>6.800502867918598E-2</v>
      </c>
      <c r="Z124" s="71">
        <v>3.4428118697781646E-2</v>
      </c>
      <c r="AA124" s="71">
        <v>2.0468295749194641E-2</v>
      </c>
      <c r="AB124" s="71">
        <v>0.16163798748068411</v>
      </c>
      <c r="AC124" s="39">
        <v>0</v>
      </c>
      <c r="AD124" s="39">
        <v>0</v>
      </c>
      <c r="AE124" s="39">
        <v>0</v>
      </c>
      <c r="AF124" s="68" t="s">
        <v>392</v>
      </c>
      <c r="AJ124" s="28"/>
      <c r="AK124" s="28"/>
      <c r="AL124" s="28"/>
      <c r="AR124" s="22"/>
    </row>
    <row r="125" spans="1:44" s="84" customFormat="1" ht="17.25" customHeight="1" x14ac:dyDescent="0.3">
      <c r="A125" s="418" t="s">
        <v>301</v>
      </c>
      <c r="B125" s="199" t="s">
        <v>196</v>
      </c>
      <c r="C125" s="199" t="s">
        <v>218</v>
      </c>
      <c r="D125" s="419" t="s">
        <v>786</v>
      </c>
      <c r="E125" s="648" t="s">
        <v>800</v>
      </c>
      <c r="F125" s="649"/>
      <c r="G125" s="649"/>
      <c r="H125" s="650"/>
      <c r="J125" s="420"/>
      <c r="K125" s="425"/>
      <c r="L125" s="426"/>
      <c r="N125" s="421">
        <v>6.2983730000000003E-3</v>
      </c>
      <c r="O125" s="648" t="s">
        <v>800</v>
      </c>
      <c r="P125" s="649"/>
      <c r="Q125" s="649"/>
      <c r="R125" s="650"/>
      <c r="T125" s="422">
        <v>5.0589014500000001E-2</v>
      </c>
      <c r="U125" s="422">
        <v>0.57547347719999997</v>
      </c>
      <c r="V125" s="421">
        <v>7.0851437599999997E-2</v>
      </c>
      <c r="W125" s="421">
        <v>2.3617780000000001E-2</v>
      </c>
      <c r="X125" s="421">
        <v>1.23130277E-2</v>
      </c>
      <c r="Y125" s="421">
        <v>3.6450024999999998E-3</v>
      </c>
      <c r="Z125" s="421">
        <v>1.4215314000000001E-3</v>
      </c>
      <c r="AA125" s="421">
        <v>3.976459E-4</v>
      </c>
      <c r="AB125" s="421">
        <v>0.2616910831</v>
      </c>
      <c r="AC125" s="421">
        <v>0</v>
      </c>
      <c r="AD125" s="421">
        <v>0</v>
      </c>
      <c r="AE125" s="421">
        <v>0</v>
      </c>
      <c r="AF125" s="423" t="s">
        <v>800</v>
      </c>
      <c r="AO125" s="424"/>
    </row>
    <row r="126" spans="1:44" x14ac:dyDescent="0.3">
      <c r="A126" s="64" t="s">
        <v>304</v>
      </c>
      <c r="B126" s="8" t="s">
        <v>214</v>
      </c>
      <c r="C126" s="8" t="s">
        <v>401</v>
      </c>
      <c r="D126" s="21"/>
      <c r="E126" s="609"/>
      <c r="F126" s="610"/>
      <c r="G126" s="610"/>
      <c r="H126" s="611"/>
      <c r="I126" s="3"/>
      <c r="J126" s="69"/>
      <c r="K126" s="618"/>
      <c r="L126" s="619"/>
      <c r="M126" s="3"/>
      <c r="N126" s="118"/>
      <c r="O126" s="618"/>
      <c r="P126" s="622"/>
      <c r="Q126" s="622"/>
      <c r="R126" s="619"/>
      <c r="T126" s="39"/>
      <c r="U126" s="39"/>
      <c r="V126" s="39"/>
      <c r="W126" s="39"/>
      <c r="X126" s="39"/>
      <c r="Y126" s="39"/>
      <c r="Z126" s="39"/>
      <c r="AA126" s="39"/>
      <c r="AB126" s="39"/>
      <c r="AC126" s="39"/>
      <c r="AD126" s="39"/>
      <c r="AE126" s="39"/>
      <c r="AF126" s="68"/>
      <c r="AJ126" s="28"/>
      <c r="AK126" s="28"/>
      <c r="AL126" s="28"/>
      <c r="AR126" s="22"/>
    </row>
    <row r="127" spans="1:44" x14ac:dyDescent="0.3">
      <c r="A127" s="64" t="s">
        <v>308</v>
      </c>
      <c r="B127" s="8" t="s">
        <v>309</v>
      </c>
      <c r="C127" s="8" t="s">
        <v>251</v>
      </c>
      <c r="D127" s="21"/>
      <c r="E127" s="609"/>
      <c r="F127" s="610"/>
      <c r="G127" s="610"/>
      <c r="H127" s="611"/>
      <c r="I127" s="3"/>
      <c r="J127" s="69"/>
      <c r="K127" s="618"/>
      <c r="L127" s="619"/>
      <c r="M127" s="3"/>
      <c r="N127" s="118"/>
      <c r="O127" s="618"/>
      <c r="P127" s="622"/>
      <c r="Q127" s="622"/>
      <c r="R127" s="619"/>
      <c r="T127" s="39"/>
      <c r="U127" s="39"/>
      <c r="V127" s="39"/>
      <c r="W127" s="39"/>
      <c r="X127" s="39"/>
      <c r="Y127" s="39"/>
      <c r="Z127" s="39"/>
      <c r="AA127" s="39"/>
      <c r="AB127" s="39"/>
      <c r="AC127" s="39"/>
      <c r="AD127" s="39"/>
      <c r="AE127" s="39"/>
      <c r="AF127" s="68"/>
      <c r="AJ127" s="28"/>
      <c r="AK127" s="28"/>
      <c r="AL127" s="28"/>
      <c r="AR127" s="22"/>
    </row>
    <row r="128" spans="1:44" x14ac:dyDescent="0.3">
      <c r="A128" s="64" t="s">
        <v>310</v>
      </c>
      <c r="B128" s="8" t="s">
        <v>192</v>
      </c>
      <c r="C128" s="8" t="s">
        <v>402</v>
      </c>
      <c r="D128" s="21"/>
      <c r="E128" s="609"/>
      <c r="F128" s="610"/>
      <c r="G128" s="610"/>
      <c r="H128" s="611"/>
      <c r="I128" s="3"/>
      <c r="J128" s="69"/>
      <c r="K128" s="618"/>
      <c r="L128" s="619"/>
      <c r="M128" s="3"/>
      <c r="N128" s="118"/>
      <c r="O128" s="618"/>
      <c r="P128" s="622"/>
      <c r="Q128" s="622"/>
      <c r="R128" s="619"/>
      <c r="T128" s="39"/>
      <c r="U128" s="39"/>
      <c r="V128" s="39"/>
      <c r="W128" s="39"/>
      <c r="X128" s="39"/>
      <c r="Y128" s="39"/>
      <c r="Z128" s="39"/>
      <c r="AA128" s="39"/>
      <c r="AB128" s="39"/>
      <c r="AC128" s="39"/>
      <c r="AD128" s="39"/>
      <c r="AE128" s="39"/>
      <c r="AF128" s="68"/>
      <c r="AJ128" s="28"/>
      <c r="AK128" s="28"/>
      <c r="AL128" s="28"/>
      <c r="AR128" s="22"/>
    </row>
    <row r="129" spans="1:44" x14ac:dyDescent="0.3">
      <c r="A129" s="64" t="s">
        <v>314</v>
      </c>
      <c r="B129" s="8" t="s">
        <v>214</v>
      </c>
      <c r="C129" s="8" t="s">
        <v>403</v>
      </c>
      <c r="D129" s="21"/>
      <c r="E129" s="609"/>
      <c r="F129" s="610"/>
      <c r="G129" s="610"/>
      <c r="H129" s="611"/>
      <c r="I129" s="3"/>
      <c r="J129" s="69"/>
      <c r="K129" s="618"/>
      <c r="L129" s="619"/>
      <c r="M129" s="3"/>
      <c r="N129" s="118"/>
      <c r="O129" s="618"/>
      <c r="P129" s="622"/>
      <c r="Q129" s="622"/>
      <c r="R129" s="619"/>
      <c r="T129" s="39"/>
      <c r="U129" s="39"/>
      <c r="V129" s="39"/>
      <c r="W129" s="39"/>
      <c r="X129" s="39"/>
      <c r="Y129" s="39"/>
      <c r="Z129" s="39"/>
      <c r="AA129" s="39"/>
      <c r="AB129" s="39"/>
      <c r="AC129" s="39"/>
      <c r="AD129" s="39"/>
      <c r="AE129" s="39"/>
      <c r="AF129" s="68"/>
      <c r="AJ129" s="28"/>
      <c r="AK129" s="28"/>
      <c r="AL129" s="28"/>
      <c r="AR129" s="22"/>
    </row>
    <row r="130" spans="1:44" x14ac:dyDescent="0.3">
      <c r="A130" s="64" t="s">
        <v>319</v>
      </c>
      <c r="B130" s="8" t="s">
        <v>196</v>
      </c>
      <c r="C130" s="8" t="s">
        <v>218</v>
      </c>
      <c r="D130" s="21"/>
      <c r="E130" s="609"/>
      <c r="F130" s="610"/>
      <c r="G130" s="610"/>
      <c r="H130" s="611"/>
      <c r="I130" s="3"/>
      <c r="J130" s="69"/>
      <c r="K130" s="618"/>
      <c r="L130" s="619"/>
      <c r="M130" s="3"/>
      <c r="N130" s="118"/>
      <c r="O130" s="618"/>
      <c r="P130" s="622"/>
      <c r="Q130" s="622"/>
      <c r="R130" s="619"/>
      <c r="T130" s="39"/>
      <c r="U130" s="39"/>
      <c r="V130" s="39"/>
      <c r="W130" s="39"/>
      <c r="X130" s="39"/>
      <c r="Y130" s="39"/>
      <c r="Z130" s="39"/>
      <c r="AA130" s="39"/>
      <c r="AB130" s="39"/>
      <c r="AC130" s="39"/>
      <c r="AD130" s="39"/>
      <c r="AE130" s="39"/>
      <c r="AF130" s="68"/>
      <c r="AJ130" s="28"/>
      <c r="AK130" s="28"/>
      <c r="AL130" s="28"/>
      <c r="AR130" s="22"/>
    </row>
    <row r="131" spans="1:44" x14ac:dyDescent="0.3">
      <c r="A131" s="64" t="s">
        <v>322</v>
      </c>
      <c r="B131" s="8" t="s">
        <v>178</v>
      </c>
      <c r="C131" s="8" t="s">
        <v>218</v>
      </c>
      <c r="D131" s="21"/>
      <c r="E131" s="609"/>
      <c r="F131" s="610"/>
      <c r="G131" s="610"/>
      <c r="H131" s="611"/>
      <c r="I131" s="3"/>
      <c r="J131" s="69"/>
      <c r="K131" s="618"/>
      <c r="L131" s="619"/>
      <c r="M131" s="3"/>
      <c r="N131" s="118"/>
      <c r="O131" s="618"/>
      <c r="P131" s="622"/>
      <c r="Q131" s="622"/>
      <c r="R131" s="619"/>
      <c r="T131" s="39"/>
      <c r="U131" s="39"/>
      <c r="V131" s="39"/>
      <c r="W131" s="39"/>
      <c r="X131" s="39"/>
      <c r="Y131" s="39"/>
      <c r="Z131" s="39"/>
      <c r="AA131" s="39"/>
      <c r="AB131" s="39"/>
      <c r="AC131" s="39"/>
      <c r="AD131" s="39"/>
      <c r="AE131" s="39"/>
      <c r="AF131" s="68"/>
      <c r="AJ131" s="28"/>
      <c r="AK131" s="28"/>
      <c r="AL131" s="28"/>
      <c r="AR131" s="22"/>
    </row>
    <row r="132" spans="1:44" x14ac:dyDescent="0.3">
      <c r="A132" s="64" t="s">
        <v>323</v>
      </c>
      <c r="B132" s="8" t="s">
        <v>214</v>
      </c>
      <c r="C132" s="8" t="s">
        <v>251</v>
      </c>
      <c r="D132" s="21"/>
      <c r="E132" s="609"/>
      <c r="F132" s="610"/>
      <c r="G132" s="610"/>
      <c r="H132" s="611"/>
      <c r="I132" s="3"/>
      <c r="J132" s="69"/>
      <c r="K132" s="618"/>
      <c r="L132" s="619"/>
      <c r="M132" s="3"/>
      <c r="N132" s="118"/>
      <c r="O132" s="618"/>
      <c r="P132" s="622"/>
      <c r="Q132" s="622"/>
      <c r="R132" s="619"/>
      <c r="T132" s="39"/>
      <c r="U132" s="39"/>
      <c r="V132" s="39"/>
      <c r="W132" s="39"/>
      <c r="X132" s="39"/>
      <c r="Y132" s="39"/>
      <c r="Z132" s="39"/>
      <c r="AA132" s="39"/>
      <c r="AB132" s="39"/>
      <c r="AC132" s="39"/>
      <c r="AD132" s="39"/>
      <c r="AE132" s="39"/>
      <c r="AF132" s="68"/>
      <c r="AJ132" s="28"/>
      <c r="AK132" s="28"/>
      <c r="AL132" s="28"/>
      <c r="AR132" s="22"/>
    </row>
    <row r="133" spans="1:44" x14ac:dyDescent="0.3">
      <c r="A133" s="64" t="s">
        <v>324</v>
      </c>
      <c r="B133" s="8" t="s">
        <v>214</v>
      </c>
      <c r="C133" s="8" t="s">
        <v>188</v>
      </c>
      <c r="D133" s="21"/>
      <c r="E133" s="609"/>
      <c r="F133" s="610"/>
      <c r="G133" s="610"/>
      <c r="H133" s="611"/>
      <c r="I133" s="3"/>
      <c r="J133" s="69"/>
      <c r="K133" s="618"/>
      <c r="L133" s="619"/>
      <c r="M133" s="3"/>
      <c r="N133" s="118"/>
      <c r="O133" s="618"/>
      <c r="P133" s="622"/>
      <c r="Q133" s="622"/>
      <c r="R133" s="619"/>
      <c r="T133" s="39"/>
      <c r="U133" s="39"/>
      <c r="V133" s="39"/>
      <c r="W133" s="39"/>
      <c r="X133" s="39"/>
      <c r="Y133" s="39"/>
      <c r="Z133" s="39"/>
      <c r="AA133" s="39"/>
      <c r="AB133" s="39"/>
      <c r="AC133" s="39"/>
      <c r="AD133" s="39"/>
      <c r="AE133" s="39"/>
      <c r="AF133" s="68"/>
      <c r="AJ133" s="28"/>
      <c r="AK133" s="28"/>
      <c r="AL133" s="28"/>
      <c r="AR133" s="22"/>
    </row>
    <row r="134" spans="1:44" x14ac:dyDescent="0.3">
      <c r="A134" s="64" t="s">
        <v>326</v>
      </c>
      <c r="B134" s="8" t="s">
        <v>327</v>
      </c>
      <c r="C134" s="8" t="s">
        <v>251</v>
      </c>
      <c r="D134" s="21"/>
      <c r="E134" s="609"/>
      <c r="F134" s="610"/>
      <c r="G134" s="610"/>
      <c r="H134" s="611"/>
      <c r="I134" s="3"/>
      <c r="J134" s="69"/>
      <c r="K134" s="618"/>
      <c r="L134" s="619"/>
      <c r="M134" s="3"/>
      <c r="N134" s="118"/>
      <c r="O134" s="618"/>
      <c r="P134" s="622"/>
      <c r="Q134" s="622"/>
      <c r="R134" s="619"/>
      <c r="T134" s="39"/>
      <c r="U134" s="39"/>
      <c r="V134" s="39"/>
      <c r="W134" s="39"/>
      <c r="X134" s="39"/>
      <c r="Y134" s="39"/>
      <c r="Z134" s="39"/>
      <c r="AA134" s="39"/>
      <c r="AB134" s="39"/>
      <c r="AC134" s="39"/>
      <c r="AD134" s="39"/>
      <c r="AE134" s="39"/>
      <c r="AF134" s="68"/>
      <c r="AJ134" s="28"/>
      <c r="AK134" s="28"/>
      <c r="AL134" s="28"/>
      <c r="AR134" s="22"/>
    </row>
    <row r="135" spans="1:44" s="84" customFormat="1" x14ac:dyDescent="0.3">
      <c r="A135" s="418" t="s">
        <v>329</v>
      </c>
      <c r="B135" s="199" t="s">
        <v>330</v>
      </c>
      <c r="C135" s="199" t="s">
        <v>218</v>
      </c>
      <c r="D135" s="419" t="s">
        <v>787</v>
      </c>
      <c r="E135" s="648" t="s">
        <v>800</v>
      </c>
      <c r="F135" s="649"/>
      <c r="G135" s="649"/>
      <c r="H135" s="650"/>
      <c r="I135" s="207"/>
      <c r="J135" s="420"/>
      <c r="K135" s="651"/>
      <c r="L135" s="652"/>
      <c r="M135" s="207"/>
      <c r="N135" s="421">
        <v>8.5387120000000004E-3</v>
      </c>
      <c r="O135" s="648" t="s">
        <v>800</v>
      </c>
      <c r="P135" s="649"/>
      <c r="Q135" s="649"/>
      <c r="R135" s="650"/>
      <c r="S135" s="207"/>
      <c r="T135" s="422">
        <v>3.96061303E-2</v>
      </c>
      <c r="U135" s="422">
        <v>6.1775554099999998E-2</v>
      </c>
      <c r="V135" s="421">
        <v>3.2045456299999997E-2</v>
      </c>
      <c r="W135" s="421">
        <v>2.9848949400000001E-2</v>
      </c>
      <c r="X135" s="421">
        <v>1.9711310999999999E-2</v>
      </c>
      <c r="Y135" s="421">
        <v>1.0659221E-2</v>
      </c>
      <c r="Z135" s="421">
        <v>5.0100146000000003E-3</v>
      </c>
      <c r="AA135" s="421">
        <v>1.8975735E-3</v>
      </c>
      <c r="AB135" s="421">
        <v>0.79944578980000003</v>
      </c>
      <c r="AC135" s="421">
        <v>0</v>
      </c>
      <c r="AD135" s="421">
        <v>0</v>
      </c>
      <c r="AE135" s="421">
        <v>0</v>
      </c>
      <c r="AF135" s="423" t="s">
        <v>800</v>
      </c>
      <c r="AO135" s="424"/>
    </row>
    <row r="136" spans="1:44" x14ac:dyDescent="0.3">
      <c r="A136" s="64" t="s">
        <v>333</v>
      </c>
      <c r="B136" s="9" t="s">
        <v>192</v>
      </c>
      <c r="C136" s="8" t="s">
        <v>188</v>
      </c>
      <c r="D136" s="34"/>
      <c r="E136" s="609"/>
      <c r="F136" s="610"/>
      <c r="G136" s="610"/>
      <c r="H136" s="611"/>
      <c r="I136" s="30"/>
      <c r="J136" s="69"/>
      <c r="K136" s="618"/>
      <c r="L136" s="619"/>
      <c r="M136" s="30"/>
      <c r="N136" s="118"/>
      <c r="O136" s="618"/>
      <c r="P136" s="622"/>
      <c r="Q136" s="622"/>
      <c r="R136" s="619"/>
      <c r="S136" s="30"/>
      <c r="T136" s="34"/>
      <c r="U136" s="34"/>
      <c r="V136" s="34"/>
      <c r="W136" s="34"/>
      <c r="X136" s="34"/>
      <c r="Y136" s="34"/>
      <c r="Z136" s="34"/>
      <c r="AA136" s="39"/>
      <c r="AB136" s="39"/>
      <c r="AC136" s="39"/>
      <c r="AD136" s="39"/>
      <c r="AE136" s="39"/>
      <c r="AF136" s="68"/>
      <c r="AJ136" s="28"/>
      <c r="AK136" s="28"/>
      <c r="AL136" s="28"/>
      <c r="AR136" s="22"/>
    </row>
    <row r="137" spans="1:44" x14ac:dyDescent="0.3">
      <c r="A137" s="64" t="s">
        <v>336</v>
      </c>
      <c r="B137" s="9" t="s">
        <v>214</v>
      </c>
      <c r="C137" s="8" t="s">
        <v>179</v>
      </c>
      <c r="D137" s="34"/>
      <c r="E137" s="609"/>
      <c r="F137" s="610"/>
      <c r="G137" s="610"/>
      <c r="H137" s="611"/>
      <c r="I137" s="30"/>
      <c r="J137" s="69"/>
      <c r="K137" s="618"/>
      <c r="L137" s="619"/>
      <c r="M137" s="30"/>
      <c r="N137" s="118"/>
      <c r="O137" s="618"/>
      <c r="P137" s="622"/>
      <c r="Q137" s="622"/>
      <c r="R137" s="619"/>
      <c r="S137" s="30"/>
      <c r="T137" s="34"/>
      <c r="U137" s="34"/>
      <c r="V137" s="34"/>
      <c r="W137" s="34"/>
      <c r="X137" s="34"/>
      <c r="Y137" s="34"/>
      <c r="Z137" s="34"/>
      <c r="AA137" s="39"/>
      <c r="AB137" s="39"/>
      <c r="AC137" s="39"/>
      <c r="AD137" s="39"/>
      <c r="AE137" s="39"/>
      <c r="AF137" s="8"/>
      <c r="AJ137" s="28"/>
      <c r="AK137" s="28"/>
      <c r="AL137" s="28"/>
      <c r="AR137" s="22"/>
    </row>
    <row r="138" spans="1:44" x14ac:dyDescent="0.3">
      <c r="A138" s="64" t="s">
        <v>339</v>
      </c>
      <c r="B138" s="9" t="s">
        <v>178</v>
      </c>
      <c r="C138" s="9" t="s">
        <v>188</v>
      </c>
      <c r="D138" s="34"/>
      <c r="E138" s="609"/>
      <c r="F138" s="610"/>
      <c r="G138" s="610"/>
      <c r="H138" s="611"/>
      <c r="I138" s="30"/>
      <c r="J138" s="69"/>
      <c r="K138" s="618"/>
      <c r="L138" s="619"/>
      <c r="M138" s="30"/>
      <c r="N138" s="118"/>
      <c r="O138" s="618"/>
      <c r="P138" s="622"/>
      <c r="Q138" s="622"/>
      <c r="R138" s="619"/>
      <c r="S138" s="30"/>
      <c r="T138" s="34"/>
      <c r="U138" s="34"/>
      <c r="V138" s="34"/>
      <c r="W138" s="34"/>
      <c r="X138" s="34"/>
      <c r="Y138" s="34"/>
      <c r="Z138" s="34"/>
      <c r="AA138" s="39"/>
      <c r="AB138" s="39"/>
      <c r="AC138" s="39"/>
      <c r="AD138" s="39"/>
      <c r="AE138" s="39"/>
      <c r="AF138" s="8"/>
      <c r="AJ138" s="28"/>
      <c r="AK138" s="28"/>
      <c r="AL138" s="28"/>
      <c r="AR138" s="22"/>
    </row>
    <row r="139" spans="1:44" x14ac:dyDescent="0.3">
      <c r="A139" s="64" t="s">
        <v>342</v>
      </c>
      <c r="B139" s="9" t="s">
        <v>192</v>
      </c>
      <c r="C139" s="9" t="s">
        <v>404</v>
      </c>
      <c r="D139" s="34"/>
      <c r="E139" s="609"/>
      <c r="F139" s="610"/>
      <c r="G139" s="610"/>
      <c r="H139" s="611"/>
      <c r="I139" s="30"/>
      <c r="J139" s="69"/>
      <c r="K139" s="618"/>
      <c r="L139" s="619"/>
      <c r="M139" s="30"/>
      <c r="N139" s="118"/>
      <c r="O139" s="618"/>
      <c r="P139" s="622"/>
      <c r="Q139" s="622"/>
      <c r="R139" s="619"/>
      <c r="S139" s="30"/>
      <c r="T139" s="34"/>
      <c r="U139" s="34"/>
      <c r="V139" s="34"/>
      <c r="W139" s="34"/>
      <c r="X139" s="34"/>
      <c r="Y139" s="34"/>
      <c r="Z139" s="34"/>
      <c r="AA139" s="39"/>
      <c r="AB139" s="39"/>
      <c r="AC139" s="39"/>
      <c r="AD139" s="39"/>
      <c r="AE139" s="39"/>
      <c r="AF139" s="8"/>
      <c r="AI139" s="28"/>
      <c r="AJ139" s="28"/>
      <c r="AK139" s="28"/>
      <c r="AL139" s="28"/>
      <c r="AR139" s="22"/>
    </row>
    <row r="140" spans="1:44" x14ac:dyDescent="0.3">
      <c r="A140" s="64" t="s">
        <v>345</v>
      </c>
      <c r="B140" s="9" t="s">
        <v>192</v>
      </c>
      <c r="C140" s="9" t="s">
        <v>371</v>
      </c>
      <c r="D140" s="34"/>
      <c r="E140" s="609"/>
      <c r="F140" s="610"/>
      <c r="G140" s="610"/>
      <c r="H140" s="611"/>
      <c r="I140" s="30"/>
      <c r="J140" s="69"/>
      <c r="K140" s="618"/>
      <c r="L140" s="619"/>
      <c r="M140" s="30"/>
      <c r="N140" s="118"/>
      <c r="O140" s="618"/>
      <c r="P140" s="622"/>
      <c r="Q140" s="622"/>
      <c r="R140" s="619"/>
      <c r="S140" s="30"/>
      <c r="T140" s="34"/>
      <c r="U140" s="34"/>
      <c r="V140" s="34"/>
      <c r="W140" s="34"/>
      <c r="X140" s="34"/>
      <c r="Y140" s="34"/>
      <c r="Z140" s="34"/>
      <c r="AA140" s="39"/>
      <c r="AB140" s="39"/>
      <c r="AC140" s="39"/>
      <c r="AD140" s="39"/>
      <c r="AE140" s="39"/>
      <c r="AF140" s="8"/>
      <c r="AI140" s="28"/>
      <c r="AJ140" s="28"/>
      <c r="AK140" s="28"/>
      <c r="AL140" s="28"/>
      <c r="AR140" s="22"/>
    </row>
    <row r="141" spans="1:44" x14ac:dyDescent="0.3">
      <c r="A141" s="64" t="s">
        <v>347</v>
      </c>
      <c r="B141" s="8" t="s">
        <v>196</v>
      </c>
      <c r="C141" s="9" t="s">
        <v>218</v>
      </c>
      <c r="D141" s="34"/>
      <c r="E141" s="609"/>
      <c r="F141" s="610"/>
      <c r="G141" s="610"/>
      <c r="H141" s="611"/>
      <c r="I141" s="30"/>
      <c r="J141" s="69">
        <v>12.7</v>
      </c>
      <c r="K141" s="618" t="s">
        <v>405</v>
      </c>
      <c r="L141" s="619"/>
      <c r="M141" s="27"/>
      <c r="N141" s="118">
        <v>3.7000000000000002E-3</v>
      </c>
      <c r="O141" s="618" t="s">
        <v>405</v>
      </c>
      <c r="P141" s="622"/>
      <c r="Q141" s="622"/>
      <c r="R141" s="619"/>
      <c r="T141" s="71"/>
      <c r="U141" s="71"/>
      <c r="V141" s="71"/>
      <c r="W141" s="71"/>
      <c r="X141" s="39"/>
      <c r="Y141" s="39"/>
      <c r="Z141" s="39"/>
      <c r="AA141" s="39"/>
      <c r="AB141" s="39"/>
      <c r="AC141" s="39"/>
      <c r="AD141" s="39"/>
      <c r="AE141" s="39"/>
      <c r="AF141" s="8"/>
      <c r="AI141" s="28"/>
      <c r="AJ141" s="28"/>
      <c r="AK141" s="28"/>
      <c r="AL141" s="28"/>
      <c r="AR141" s="22"/>
    </row>
    <row r="142" spans="1:44" x14ac:dyDescent="0.3">
      <c r="A142" s="64" t="s">
        <v>347</v>
      </c>
      <c r="B142" s="8" t="s">
        <v>196</v>
      </c>
      <c r="C142" s="9" t="s">
        <v>218</v>
      </c>
      <c r="D142" s="34"/>
      <c r="E142" s="609"/>
      <c r="F142" s="610"/>
      <c r="G142" s="610"/>
      <c r="H142" s="611"/>
      <c r="I142" s="30"/>
      <c r="J142" s="69">
        <v>7.5</v>
      </c>
      <c r="K142" s="618" t="s">
        <v>406</v>
      </c>
      <c r="L142" s="619"/>
      <c r="M142" s="27"/>
      <c r="N142" s="118">
        <v>3.0000000000000001E-3</v>
      </c>
      <c r="O142" s="618" t="s">
        <v>406</v>
      </c>
      <c r="P142" s="622"/>
      <c r="Q142" s="622"/>
      <c r="R142" s="619"/>
      <c r="T142" s="71"/>
      <c r="U142" s="71"/>
      <c r="V142" s="71"/>
      <c r="W142" s="71"/>
      <c r="X142" s="39"/>
      <c r="Y142" s="39"/>
      <c r="Z142" s="39"/>
      <c r="AA142" s="39"/>
      <c r="AB142" s="39"/>
      <c r="AC142" s="39"/>
      <c r="AD142" s="39"/>
      <c r="AE142" s="39"/>
      <c r="AF142" s="8"/>
      <c r="AI142" s="28"/>
      <c r="AJ142" s="28"/>
      <c r="AK142" s="28"/>
      <c r="AL142" s="28"/>
      <c r="AR142" s="22"/>
    </row>
    <row r="143" spans="1:44" x14ac:dyDescent="0.3">
      <c r="A143" s="64" t="s">
        <v>350</v>
      </c>
      <c r="B143" s="8" t="s">
        <v>192</v>
      </c>
      <c r="C143" s="9" t="s">
        <v>371</v>
      </c>
      <c r="D143" s="34"/>
      <c r="E143" s="609"/>
      <c r="F143" s="610"/>
      <c r="G143" s="610"/>
      <c r="H143" s="611"/>
      <c r="J143" s="69"/>
      <c r="K143" s="606"/>
      <c r="L143" s="608"/>
      <c r="M143" s="27"/>
      <c r="N143" s="118"/>
      <c r="O143" s="618"/>
      <c r="P143" s="622"/>
      <c r="Q143" s="622"/>
      <c r="R143" s="619"/>
      <c r="T143" s="71"/>
      <c r="U143" s="71"/>
      <c r="V143" s="71"/>
      <c r="W143" s="71"/>
      <c r="X143" s="39"/>
      <c r="Y143" s="39"/>
      <c r="Z143" s="34"/>
      <c r="AA143" s="34"/>
      <c r="AB143" s="39"/>
      <c r="AC143" s="39"/>
      <c r="AD143" s="39"/>
      <c r="AE143" s="39"/>
      <c r="AF143" s="8"/>
      <c r="AI143" s="28"/>
      <c r="AJ143" s="28"/>
      <c r="AK143" s="28"/>
      <c r="AL143" s="28"/>
      <c r="AR143" s="22"/>
    </row>
    <row r="144" spans="1:44" x14ac:dyDescent="0.3">
      <c r="A144" s="64" t="s">
        <v>351</v>
      </c>
      <c r="B144" s="8" t="s">
        <v>210</v>
      </c>
      <c r="C144" s="8" t="s">
        <v>397</v>
      </c>
      <c r="D144" s="34"/>
      <c r="E144" s="609"/>
      <c r="F144" s="610"/>
      <c r="G144" s="610"/>
      <c r="H144" s="611"/>
      <c r="J144" s="69"/>
      <c r="K144" s="606"/>
      <c r="L144" s="608"/>
      <c r="M144" s="27"/>
      <c r="N144" s="118"/>
      <c r="O144" s="618"/>
      <c r="P144" s="622"/>
      <c r="Q144" s="622"/>
      <c r="R144" s="619"/>
      <c r="T144" s="71"/>
      <c r="U144" s="71"/>
      <c r="V144" s="71"/>
      <c r="W144" s="71"/>
      <c r="X144" s="39"/>
      <c r="Y144" s="39"/>
      <c r="Z144" s="34"/>
      <c r="AA144" s="34"/>
      <c r="AB144" s="39"/>
      <c r="AC144" s="39"/>
      <c r="AD144" s="39"/>
      <c r="AE144" s="39"/>
      <c r="AF144" s="8"/>
      <c r="AI144" s="28"/>
      <c r="AJ144" s="28"/>
      <c r="AK144" s="28"/>
      <c r="AL144" s="28"/>
      <c r="AR144" s="22"/>
    </row>
    <row r="145" spans="1:44" x14ac:dyDescent="0.3">
      <c r="A145" s="64" t="s">
        <v>353</v>
      </c>
      <c r="B145" s="8" t="s">
        <v>214</v>
      </c>
      <c r="C145" s="8" t="s">
        <v>251</v>
      </c>
      <c r="D145" s="34"/>
      <c r="E145" s="609"/>
      <c r="F145" s="610"/>
      <c r="G145" s="610"/>
      <c r="H145" s="611"/>
      <c r="J145" s="69"/>
      <c r="K145" s="606"/>
      <c r="L145" s="608"/>
      <c r="M145" s="27"/>
      <c r="N145" s="118"/>
      <c r="O145" s="618"/>
      <c r="P145" s="622"/>
      <c r="Q145" s="622"/>
      <c r="R145" s="619"/>
      <c r="T145" s="71"/>
      <c r="U145" s="71"/>
      <c r="V145" s="71"/>
      <c r="W145" s="71"/>
      <c r="X145" s="39"/>
      <c r="Y145" s="39"/>
      <c r="Z145" s="34"/>
      <c r="AA145" s="34"/>
      <c r="AB145" s="39"/>
      <c r="AC145" s="39"/>
      <c r="AD145" s="39"/>
      <c r="AE145" s="39"/>
      <c r="AF145" s="8"/>
      <c r="AI145" s="28"/>
      <c r="AJ145" s="28"/>
      <c r="AK145" s="28"/>
      <c r="AL145" s="28"/>
      <c r="AR145" s="22"/>
    </row>
    <row r="146" spans="1:44" x14ac:dyDescent="0.3">
      <c r="C146" s="30"/>
      <c r="D146" s="25"/>
      <c r="E146" s="25"/>
      <c r="F146" s="70"/>
      <c r="G146" s="27"/>
      <c r="H146" s="27"/>
      <c r="I146" s="30"/>
      <c r="J146" s="3"/>
      <c r="K146" s="98"/>
      <c r="L146" s="72"/>
      <c r="N146" s="72"/>
      <c r="O146" s="72"/>
      <c r="P146" s="72"/>
      <c r="Q146" s="28"/>
      <c r="R146" s="28"/>
      <c r="S146" s="30"/>
      <c r="T146" s="30"/>
      <c r="U146" s="28"/>
      <c r="V146" s="28"/>
      <c r="W146" s="28"/>
      <c r="Y146" s="3"/>
      <c r="Z146" s="3"/>
      <c r="AA146" s="3"/>
    </row>
    <row r="147" spans="1:44" x14ac:dyDescent="0.3">
      <c r="C147" s="30"/>
      <c r="D147" s="25"/>
      <c r="E147" s="25"/>
      <c r="F147" s="70"/>
      <c r="G147" s="27"/>
      <c r="H147" s="27"/>
      <c r="I147" s="30"/>
      <c r="J147" s="3"/>
      <c r="K147" s="98"/>
      <c r="L147" s="72"/>
      <c r="N147" s="72"/>
      <c r="O147" s="72"/>
      <c r="P147" s="72"/>
      <c r="Q147" s="28"/>
      <c r="R147" s="28"/>
      <c r="S147" s="30"/>
      <c r="T147" s="30"/>
      <c r="U147" s="28"/>
      <c r="V147" s="28"/>
      <c r="W147" s="28"/>
      <c r="Y147" s="3"/>
      <c r="Z147" s="3"/>
      <c r="AA147" s="3"/>
    </row>
    <row r="148" spans="1:44" x14ac:dyDescent="0.3">
      <c r="A148" s="214" t="s">
        <v>904</v>
      </c>
      <c r="C148" s="30"/>
      <c r="D148" s="25"/>
      <c r="E148" s="25"/>
      <c r="F148" s="70"/>
      <c r="G148" s="27"/>
      <c r="H148" s="27"/>
      <c r="I148" s="30"/>
      <c r="J148" s="3"/>
      <c r="K148" s="98"/>
      <c r="L148" s="72"/>
      <c r="N148" s="72"/>
      <c r="O148" s="72"/>
      <c r="P148" s="72"/>
      <c r="Q148" s="28"/>
      <c r="R148" s="28"/>
      <c r="S148" s="30"/>
      <c r="T148" s="30"/>
      <c r="U148" s="28"/>
      <c r="V148" s="28"/>
      <c r="W148" s="28"/>
      <c r="Y148" s="3"/>
      <c r="Z148" s="3"/>
      <c r="AA148" s="3"/>
    </row>
    <row r="149" spans="1:44" x14ac:dyDescent="0.3">
      <c r="A149" s="214"/>
      <c r="C149" s="30"/>
      <c r="D149" s="25"/>
      <c r="E149" s="25"/>
      <c r="F149" s="70"/>
      <c r="G149" s="27"/>
      <c r="H149" s="27"/>
      <c r="I149" s="30"/>
      <c r="J149" s="3"/>
      <c r="K149" s="98"/>
      <c r="L149" s="72"/>
      <c r="N149" s="72"/>
      <c r="O149" s="72"/>
      <c r="P149" s="72"/>
      <c r="Q149" s="28"/>
      <c r="R149" s="28"/>
      <c r="S149" s="30"/>
      <c r="T149" s="30"/>
      <c r="U149" s="28"/>
      <c r="V149" s="28"/>
      <c r="W149" s="28"/>
      <c r="Y149" s="3"/>
      <c r="Z149" s="3"/>
      <c r="AA149" s="3"/>
    </row>
    <row r="150" spans="1:44" x14ac:dyDescent="0.3">
      <c r="A150" s="265" t="s">
        <v>780</v>
      </c>
      <c r="C150" s="30"/>
      <c r="D150" s="31"/>
      <c r="E150" s="32"/>
      <c r="F150" s="70"/>
      <c r="G150" s="4"/>
      <c r="H150" s="4"/>
      <c r="I150" s="30"/>
      <c r="J150" s="33"/>
      <c r="K150" s="120"/>
      <c r="L150" s="72"/>
      <c r="N150" s="28"/>
      <c r="O150" s="28"/>
      <c r="P150" s="28"/>
      <c r="Q150" s="28"/>
      <c r="R150" s="28"/>
      <c r="S150" s="28"/>
      <c r="T150" s="28"/>
      <c r="U150" s="28"/>
      <c r="V150" s="28"/>
      <c r="W150" s="28"/>
      <c r="Y150" s="3"/>
      <c r="Z150" s="3"/>
      <c r="AA150" s="3"/>
    </row>
    <row r="151" spans="1:44" x14ac:dyDescent="0.3">
      <c r="A151" s="34" t="s">
        <v>781</v>
      </c>
      <c r="C151" s="30"/>
      <c r="D151" s="31"/>
      <c r="E151" s="31"/>
      <c r="F151" s="70"/>
      <c r="G151" s="32"/>
      <c r="H151" s="32"/>
      <c r="I151" s="30"/>
      <c r="J151" s="4"/>
      <c r="K151" s="23"/>
      <c r="L151" s="72"/>
      <c r="N151" s="72"/>
      <c r="O151" s="72"/>
      <c r="P151" s="72"/>
      <c r="Q151" s="28"/>
      <c r="R151" s="28"/>
      <c r="S151" s="28"/>
      <c r="T151" s="28"/>
      <c r="U151" s="28"/>
      <c r="V151" s="28"/>
      <c r="W151" s="28"/>
      <c r="Y151" s="3"/>
      <c r="Z151" s="3"/>
      <c r="AA151" s="3"/>
    </row>
    <row r="152" spans="1:44" x14ac:dyDescent="0.3">
      <c r="E152" s="3"/>
      <c r="F152" s="70"/>
      <c r="G152" s="3"/>
      <c r="H152" s="3"/>
      <c r="I152" s="30"/>
      <c r="J152" s="3"/>
      <c r="K152" s="98"/>
      <c r="L152" s="28"/>
      <c r="N152" s="28"/>
      <c r="O152" s="28"/>
      <c r="P152" s="28"/>
      <c r="Q152" s="28"/>
      <c r="R152" s="28"/>
      <c r="S152" s="28"/>
      <c r="T152" s="28"/>
      <c r="U152" s="28"/>
      <c r="V152" s="28"/>
      <c r="W152" s="28"/>
      <c r="Y152" s="3"/>
      <c r="Z152" s="3"/>
      <c r="AA152" s="3"/>
    </row>
    <row r="153" spans="1:44" x14ac:dyDescent="0.3">
      <c r="E153" s="3"/>
      <c r="F153" s="70"/>
      <c r="G153" s="3"/>
      <c r="H153" s="3"/>
      <c r="I153" s="30"/>
      <c r="J153" s="3"/>
      <c r="K153" s="98"/>
      <c r="L153" s="28"/>
      <c r="N153" s="28"/>
      <c r="O153" s="28"/>
      <c r="P153" s="28"/>
      <c r="Q153" s="28"/>
      <c r="R153" s="28"/>
      <c r="S153" s="28"/>
      <c r="T153" s="28"/>
      <c r="U153" s="28"/>
      <c r="V153" s="28"/>
      <c r="W153" s="28"/>
      <c r="Y153" s="3"/>
      <c r="Z153" s="3"/>
      <c r="AA153" s="3"/>
    </row>
    <row r="154" spans="1:44" x14ac:dyDescent="0.3">
      <c r="E154" s="3"/>
      <c r="F154" s="70"/>
      <c r="G154" s="3"/>
      <c r="H154" s="3"/>
      <c r="I154" s="30"/>
      <c r="J154" s="3"/>
      <c r="K154" s="98"/>
      <c r="L154" s="28"/>
      <c r="N154" s="28"/>
      <c r="O154" s="28"/>
      <c r="P154" s="28"/>
      <c r="Q154" s="28"/>
      <c r="R154" s="28"/>
      <c r="S154" s="28"/>
      <c r="T154" s="28"/>
      <c r="U154" s="28"/>
      <c r="V154" s="28"/>
      <c r="W154" s="28"/>
      <c r="Y154" s="3"/>
      <c r="Z154" s="3"/>
      <c r="AA154" s="3"/>
    </row>
    <row r="155" spans="1:44" x14ac:dyDescent="0.3">
      <c r="C155" s="30"/>
      <c r="D155" s="30"/>
      <c r="E155" s="30"/>
      <c r="F155" s="70"/>
      <c r="G155" s="30"/>
      <c r="H155" s="30"/>
      <c r="I155" s="30"/>
      <c r="J155" s="30"/>
      <c r="K155" s="100"/>
      <c r="L155" s="30"/>
      <c r="N155" s="30"/>
      <c r="O155" s="30"/>
      <c r="P155" s="30"/>
      <c r="R155" s="30"/>
      <c r="S155" s="30"/>
      <c r="T155" s="28"/>
      <c r="U155" s="28"/>
      <c r="V155" s="28"/>
      <c r="W155" s="28"/>
      <c r="Y155" s="3"/>
      <c r="Z155" s="3"/>
      <c r="AA155" s="3"/>
    </row>
    <row r="156" spans="1:44" x14ac:dyDescent="0.3">
      <c r="C156" s="30"/>
      <c r="D156" s="30"/>
      <c r="E156" s="30"/>
      <c r="F156" s="70"/>
      <c r="G156" s="30"/>
      <c r="H156" s="30"/>
      <c r="I156" s="30"/>
      <c r="J156" s="30"/>
      <c r="K156" s="100"/>
      <c r="L156" s="30"/>
      <c r="N156" s="30"/>
      <c r="O156" s="30"/>
      <c r="P156" s="30"/>
      <c r="R156" s="30"/>
      <c r="S156" s="30"/>
      <c r="T156" s="28"/>
      <c r="U156" s="28"/>
      <c r="V156" s="28"/>
      <c r="W156" s="28"/>
      <c r="Y156" s="3"/>
      <c r="Z156" s="3"/>
      <c r="AA156" s="3"/>
    </row>
    <row r="157" spans="1:44" x14ac:dyDescent="0.3">
      <c r="C157" s="30"/>
      <c r="D157" s="25"/>
      <c r="E157" s="25"/>
      <c r="F157" s="70"/>
      <c r="G157" s="27"/>
      <c r="H157" s="27"/>
      <c r="I157" s="30"/>
      <c r="J157" s="3"/>
      <c r="K157" s="98"/>
      <c r="L157" s="72"/>
      <c r="N157" s="72"/>
      <c r="O157" s="72"/>
      <c r="P157" s="72"/>
      <c r="Q157" s="28"/>
      <c r="R157" s="28"/>
      <c r="S157" s="30"/>
      <c r="T157" s="30"/>
      <c r="U157" s="28"/>
      <c r="V157" s="28"/>
      <c r="W157" s="28"/>
      <c r="Y157" s="3"/>
      <c r="Z157" s="3"/>
      <c r="AA157" s="3"/>
    </row>
    <row r="158" spans="1:44" x14ac:dyDescent="0.3">
      <c r="C158" s="30"/>
      <c r="D158" s="25"/>
      <c r="E158" s="25"/>
      <c r="F158" s="70"/>
      <c r="G158" s="27"/>
      <c r="H158" s="27"/>
      <c r="I158" s="30"/>
      <c r="J158" s="3"/>
      <c r="K158" s="98"/>
      <c r="L158" s="72"/>
      <c r="N158" s="72"/>
      <c r="O158" s="72"/>
      <c r="P158" s="72"/>
      <c r="Q158" s="28"/>
      <c r="R158" s="28"/>
      <c r="S158" s="30"/>
      <c r="T158" s="30"/>
      <c r="U158" s="28"/>
      <c r="V158" s="28"/>
      <c r="W158" s="28"/>
      <c r="Y158" s="3"/>
      <c r="Z158" s="3"/>
      <c r="AA158" s="3"/>
    </row>
    <row r="159" spans="1:44" x14ac:dyDescent="0.3">
      <c r="C159" s="30"/>
      <c r="D159" s="25"/>
      <c r="E159" s="25"/>
      <c r="F159" s="70"/>
      <c r="G159" s="27"/>
      <c r="H159" s="27"/>
      <c r="I159" s="30"/>
      <c r="J159" s="3"/>
      <c r="K159" s="98"/>
      <c r="L159" s="72"/>
      <c r="N159" s="72"/>
      <c r="O159" s="72"/>
      <c r="P159" s="72"/>
      <c r="Q159" s="28"/>
      <c r="R159" s="28"/>
      <c r="S159" s="30"/>
      <c r="T159" s="30"/>
      <c r="U159" s="28"/>
      <c r="V159" s="28"/>
      <c r="W159" s="28"/>
      <c r="Y159" s="3"/>
      <c r="Z159" s="3"/>
      <c r="AA159" s="3"/>
    </row>
    <row r="160" spans="1:44" x14ac:dyDescent="0.3">
      <c r="C160" s="30"/>
      <c r="D160" s="25"/>
      <c r="E160" s="25"/>
      <c r="F160" s="70"/>
      <c r="G160" s="27"/>
      <c r="H160" s="27"/>
      <c r="I160" s="30"/>
      <c r="J160" s="3"/>
      <c r="K160" s="98"/>
      <c r="L160" s="72"/>
      <c r="N160" s="72"/>
      <c r="O160" s="72"/>
      <c r="P160" s="72"/>
      <c r="Q160" s="28"/>
      <c r="R160" s="28"/>
      <c r="S160" s="30"/>
      <c r="T160" s="30"/>
      <c r="U160" s="28"/>
      <c r="V160" s="28"/>
      <c r="W160" s="28"/>
      <c r="Y160" s="3"/>
      <c r="Z160" s="3"/>
      <c r="AA160" s="3"/>
    </row>
    <row r="161" spans="4:27" x14ac:dyDescent="0.3">
      <c r="D161" s="623"/>
      <c r="E161" s="623"/>
      <c r="F161" s="623"/>
      <c r="J161" s="30"/>
      <c r="Z161" s="30"/>
      <c r="AA161" s="30"/>
    </row>
    <row r="162" spans="4:27" x14ac:dyDescent="0.3">
      <c r="D162" s="623"/>
      <c r="E162" s="623"/>
      <c r="F162" s="623"/>
      <c r="J162" s="30"/>
      <c r="Z162" s="30"/>
      <c r="AA162" s="30"/>
    </row>
    <row r="163" spans="4:27" x14ac:dyDescent="0.3">
      <c r="D163" s="623"/>
      <c r="E163" s="623"/>
      <c r="F163" s="623"/>
      <c r="J163" s="30"/>
      <c r="Z163" s="30"/>
      <c r="AA163" s="30"/>
    </row>
    <row r="164" spans="4:27" x14ac:dyDescent="0.3">
      <c r="D164" s="623"/>
      <c r="E164" s="623"/>
      <c r="F164" s="623"/>
      <c r="J164" s="30"/>
      <c r="Z164" s="30"/>
      <c r="AA164" s="30"/>
    </row>
    <row r="165" spans="4:27" x14ac:dyDescent="0.3">
      <c r="D165" s="623"/>
      <c r="E165" s="623"/>
      <c r="F165" s="623"/>
      <c r="J165" s="30"/>
      <c r="Z165" s="30"/>
      <c r="AA165" s="30"/>
    </row>
    <row r="166" spans="4:27" x14ac:dyDescent="0.3">
      <c r="D166" s="623"/>
      <c r="E166" s="623"/>
      <c r="F166" s="623"/>
      <c r="J166" s="30"/>
      <c r="Z166" s="30"/>
      <c r="AA166" s="30"/>
    </row>
    <row r="167" spans="4:27" x14ac:dyDescent="0.3">
      <c r="D167" s="623"/>
      <c r="E167" s="623"/>
      <c r="F167" s="623"/>
      <c r="J167" s="30"/>
      <c r="Z167" s="30"/>
      <c r="AA167" s="30"/>
    </row>
    <row r="168" spans="4:27" x14ac:dyDescent="0.3">
      <c r="D168" s="623"/>
      <c r="E168" s="623"/>
      <c r="F168" s="623"/>
      <c r="J168" s="30"/>
      <c r="Z168" s="30"/>
      <c r="AA168" s="30"/>
    </row>
    <row r="169" spans="4:27" x14ac:dyDescent="0.3">
      <c r="D169" s="623"/>
      <c r="E169" s="623"/>
      <c r="F169" s="623"/>
      <c r="J169" s="30"/>
      <c r="Z169" s="30"/>
      <c r="AA169" s="30"/>
    </row>
    <row r="170" spans="4:27" x14ac:dyDescent="0.3">
      <c r="D170" s="623"/>
      <c r="E170" s="623"/>
      <c r="F170" s="623"/>
      <c r="J170" s="30"/>
      <c r="Z170" s="30"/>
      <c r="AA170" s="30"/>
    </row>
    <row r="171" spans="4:27" x14ac:dyDescent="0.3">
      <c r="D171" s="623"/>
      <c r="E171" s="623"/>
      <c r="F171" s="623"/>
      <c r="J171" s="30"/>
      <c r="Z171" s="30"/>
      <c r="AA171" s="30"/>
    </row>
    <row r="172" spans="4:27" x14ac:dyDescent="0.3">
      <c r="D172" s="623"/>
      <c r="E172" s="623"/>
      <c r="F172" s="623"/>
      <c r="J172" s="30"/>
      <c r="Z172" s="30"/>
      <c r="AA172" s="30"/>
    </row>
    <row r="173" spans="4:27" x14ac:dyDescent="0.3">
      <c r="D173" s="623"/>
      <c r="E173" s="623"/>
      <c r="F173" s="623"/>
      <c r="J173" s="30"/>
      <c r="Z173" s="30"/>
      <c r="AA173" s="30"/>
    </row>
    <row r="174" spans="4:27" x14ac:dyDescent="0.3">
      <c r="D174" s="623"/>
      <c r="E174" s="623"/>
      <c r="F174" s="623"/>
      <c r="J174" s="30"/>
      <c r="Z174" s="30"/>
      <c r="AA174" s="30"/>
    </row>
    <row r="175" spans="4:27" x14ac:dyDescent="0.3">
      <c r="D175" s="623"/>
      <c r="E175" s="623"/>
      <c r="F175" s="623"/>
      <c r="J175" s="30"/>
      <c r="Z175" s="30"/>
      <c r="AA175" s="30"/>
    </row>
    <row r="176" spans="4:27" x14ac:dyDescent="0.3">
      <c r="D176" s="623"/>
      <c r="E176" s="623"/>
      <c r="F176" s="623"/>
      <c r="J176" s="30"/>
      <c r="Z176" s="30"/>
      <c r="AA176" s="30"/>
    </row>
    <row r="177" spans="4:27" x14ac:dyDescent="0.3">
      <c r="D177" s="623"/>
      <c r="E177" s="623"/>
      <c r="F177" s="623"/>
      <c r="J177" s="30"/>
      <c r="Z177" s="30"/>
      <c r="AA177" s="30"/>
    </row>
    <row r="178" spans="4:27" x14ac:dyDescent="0.3">
      <c r="D178" s="623"/>
      <c r="E178" s="623"/>
      <c r="F178" s="623"/>
      <c r="J178" s="30"/>
      <c r="Z178" s="30"/>
      <c r="AA178" s="30"/>
    </row>
    <row r="179" spans="4:27" x14ac:dyDescent="0.3">
      <c r="D179" s="623"/>
      <c r="E179" s="623"/>
      <c r="F179" s="623"/>
      <c r="J179" s="30"/>
      <c r="Z179" s="30"/>
      <c r="AA179" s="30"/>
    </row>
    <row r="180" spans="4:27" x14ac:dyDescent="0.3">
      <c r="D180" s="623"/>
      <c r="E180" s="623"/>
      <c r="F180" s="623"/>
      <c r="J180" s="30"/>
      <c r="Z180" s="30"/>
      <c r="AA180" s="30"/>
    </row>
    <row r="181" spans="4:27" x14ac:dyDescent="0.3">
      <c r="D181" s="623"/>
      <c r="E181" s="623"/>
      <c r="F181" s="623"/>
      <c r="J181" s="30"/>
      <c r="Z181" s="30"/>
      <c r="AA181" s="30"/>
    </row>
    <row r="182" spans="4:27" x14ac:dyDescent="0.3">
      <c r="D182" s="623"/>
      <c r="E182" s="623"/>
      <c r="F182" s="623"/>
      <c r="J182" s="30"/>
      <c r="Z182" s="30"/>
      <c r="AA182" s="30"/>
    </row>
    <row r="183" spans="4:27" x14ac:dyDescent="0.3">
      <c r="D183" s="623"/>
      <c r="E183" s="623"/>
      <c r="F183" s="623"/>
      <c r="J183" s="30"/>
      <c r="Z183" s="30"/>
      <c r="AA183" s="30"/>
    </row>
    <row r="184" spans="4:27" x14ac:dyDescent="0.3">
      <c r="D184" s="623"/>
      <c r="E184" s="623"/>
      <c r="F184" s="623"/>
      <c r="J184" s="30"/>
      <c r="Z184" s="30"/>
      <c r="AA184" s="30"/>
    </row>
    <row r="185" spans="4:27" x14ac:dyDescent="0.3">
      <c r="D185" s="623"/>
      <c r="E185" s="623"/>
      <c r="F185" s="623"/>
      <c r="J185" s="30"/>
      <c r="Z185" s="30"/>
      <c r="AA185" s="30"/>
    </row>
    <row r="186" spans="4:27" x14ac:dyDescent="0.3">
      <c r="D186" s="623"/>
      <c r="E186" s="623"/>
      <c r="F186" s="623"/>
      <c r="J186" s="30"/>
      <c r="Z186" s="30"/>
      <c r="AA186" s="30"/>
    </row>
    <row r="187" spans="4:27" x14ac:dyDescent="0.3">
      <c r="D187" s="623"/>
      <c r="E187" s="623"/>
      <c r="F187" s="623"/>
      <c r="J187" s="30"/>
      <c r="Z187" s="30"/>
      <c r="AA187" s="30"/>
    </row>
    <row r="188" spans="4:27" x14ac:dyDescent="0.3">
      <c r="D188" s="623"/>
      <c r="E188" s="623"/>
      <c r="F188" s="623"/>
      <c r="J188" s="30"/>
      <c r="Z188" s="30"/>
      <c r="AA188" s="30"/>
    </row>
    <row r="189" spans="4:27" x14ac:dyDescent="0.3">
      <c r="D189" s="623"/>
      <c r="E189" s="623"/>
      <c r="F189" s="623"/>
      <c r="J189" s="30"/>
      <c r="Z189" s="30"/>
      <c r="AA189" s="30"/>
    </row>
    <row r="190" spans="4:27" x14ac:dyDescent="0.3">
      <c r="D190" s="623"/>
      <c r="E190" s="623"/>
      <c r="F190" s="623"/>
      <c r="J190" s="30"/>
      <c r="Z190" s="30"/>
      <c r="AA190" s="30"/>
    </row>
    <row r="191" spans="4:27" x14ac:dyDescent="0.3">
      <c r="D191" s="623"/>
      <c r="E191" s="623"/>
      <c r="F191" s="623"/>
      <c r="J191" s="30"/>
      <c r="Z191" s="30"/>
      <c r="AA191" s="30"/>
    </row>
    <row r="192" spans="4:27" x14ac:dyDescent="0.3">
      <c r="D192" s="623"/>
      <c r="E192" s="623"/>
      <c r="F192" s="623"/>
      <c r="J192" s="30"/>
      <c r="Z192" s="30"/>
      <c r="AA192" s="30"/>
    </row>
    <row r="193" spans="4:27" x14ac:dyDescent="0.3">
      <c r="D193" s="623"/>
      <c r="E193" s="623"/>
      <c r="F193" s="623"/>
      <c r="J193" s="30"/>
      <c r="Z193" s="30"/>
      <c r="AA193" s="30"/>
    </row>
    <row r="194" spans="4:27" x14ac:dyDescent="0.3">
      <c r="D194" s="623"/>
      <c r="E194" s="623"/>
      <c r="F194" s="623"/>
      <c r="J194" s="30"/>
      <c r="Z194" s="30"/>
      <c r="AA194" s="30"/>
    </row>
    <row r="195" spans="4:27" x14ac:dyDescent="0.3">
      <c r="D195" s="623"/>
      <c r="E195" s="623"/>
      <c r="F195" s="623"/>
      <c r="J195" s="30"/>
      <c r="Z195" s="30"/>
      <c r="AA195" s="30"/>
    </row>
    <row r="196" spans="4:27" x14ac:dyDescent="0.3">
      <c r="D196" s="623"/>
      <c r="E196" s="623"/>
      <c r="F196" s="623"/>
      <c r="J196" s="30"/>
      <c r="Z196" s="30"/>
      <c r="AA196" s="30"/>
    </row>
    <row r="197" spans="4:27" x14ac:dyDescent="0.3">
      <c r="D197" s="623"/>
      <c r="E197" s="623"/>
      <c r="F197" s="623"/>
      <c r="J197" s="30"/>
      <c r="Z197" s="30"/>
      <c r="AA197" s="30"/>
    </row>
    <row r="198" spans="4:27" x14ac:dyDescent="0.3">
      <c r="D198" s="623"/>
      <c r="E198" s="623"/>
      <c r="F198" s="623"/>
      <c r="J198" s="30"/>
      <c r="Z198" s="30"/>
      <c r="AA198" s="30"/>
    </row>
    <row r="199" spans="4:27" x14ac:dyDescent="0.3">
      <c r="D199" s="623"/>
      <c r="E199" s="623"/>
      <c r="F199" s="623"/>
      <c r="J199" s="30"/>
      <c r="Z199" s="30"/>
      <c r="AA199" s="30"/>
    </row>
    <row r="200" spans="4:27" x14ac:dyDescent="0.3">
      <c r="D200" s="623"/>
      <c r="E200" s="623"/>
      <c r="F200" s="623"/>
      <c r="J200" s="30"/>
      <c r="Z200" s="30"/>
      <c r="AA200" s="30"/>
    </row>
    <row r="201" spans="4:27" x14ac:dyDescent="0.3">
      <c r="D201" s="623"/>
      <c r="E201" s="623"/>
      <c r="F201" s="623"/>
      <c r="J201" s="30"/>
      <c r="Z201" s="30"/>
      <c r="AA201" s="30"/>
    </row>
    <row r="202" spans="4:27" x14ac:dyDescent="0.3">
      <c r="D202" s="623"/>
      <c r="E202" s="623"/>
      <c r="F202" s="623"/>
      <c r="J202" s="30"/>
      <c r="Z202" s="30"/>
      <c r="AA202" s="30"/>
    </row>
    <row r="203" spans="4:27" x14ac:dyDescent="0.3">
      <c r="D203" s="623"/>
      <c r="E203" s="623"/>
      <c r="F203" s="623"/>
      <c r="J203" s="30"/>
      <c r="Z203" s="30"/>
      <c r="AA203" s="30"/>
    </row>
    <row r="204" spans="4:27" x14ac:dyDescent="0.3">
      <c r="D204" s="623"/>
      <c r="E204" s="623"/>
      <c r="F204" s="623"/>
      <c r="J204" s="30"/>
      <c r="Z204" s="30"/>
      <c r="AA204" s="30"/>
    </row>
    <row r="205" spans="4:27" x14ac:dyDescent="0.3">
      <c r="D205" s="623"/>
      <c r="E205" s="623"/>
      <c r="F205" s="623"/>
      <c r="J205" s="30"/>
      <c r="Z205" s="30"/>
      <c r="AA205" s="30"/>
    </row>
    <row r="206" spans="4:27" x14ac:dyDescent="0.3">
      <c r="D206" s="623"/>
      <c r="E206" s="623"/>
      <c r="F206" s="623"/>
      <c r="J206" s="30"/>
      <c r="Z206" s="30"/>
      <c r="AA206" s="30"/>
    </row>
    <row r="207" spans="4:27" x14ac:dyDescent="0.3">
      <c r="D207" s="623"/>
      <c r="E207" s="623"/>
      <c r="F207" s="623"/>
      <c r="J207" s="30"/>
      <c r="Z207" s="30"/>
      <c r="AA207" s="30"/>
    </row>
    <row r="208" spans="4:27" x14ac:dyDescent="0.3">
      <c r="D208" s="623"/>
      <c r="E208" s="623"/>
      <c r="F208" s="623"/>
      <c r="J208" s="30"/>
      <c r="Z208" s="30"/>
      <c r="AA208" s="30"/>
    </row>
    <row r="209" spans="4:27" x14ac:dyDescent="0.3">
      <c r="D209" s="623"/>
      <c r="E209" s="623"/>
      <c r="F209" s="623"/>
      <c r="J209" s="30"/>
      <c r="Z209" s="30"/>
      <c r="AA209" s="30"/>
    </row>
    <row r="210" spans="4:27" x14ac:dyDescent="0.3">
      <c r="D210" s="623"/>
      <c r="E210" s="623"/>
      <c r="F210" s="623"/>
      <c r="J210" s="30"/>
      <c r="Z210" s="30"/>
      <c r="AA210" s="30"/>
    </row>
    <row r="211" spans="4:27" x14ac:dyDescent="0.3">
      <c r="D211" s="623"/>
      <c r="E211" s="623"/>
      <c r="F211" s="623"/>
      <c r="J211" s="30"/>
      <c r="Z211" s="30"/>
      <c r="AA211" s="30"/>
    </row>
    <row r="212" spans="4:27" x14ac:dyDescent="0.3">
      <c r="D212" s="623"/>
      <c r="E212" s="623"/>
      <c r="F212" s="623"/>
      <c r="J212" s="30"/>
      <c r="Z212" s="30"/>
      <c r="AA212" s="30"/>
    </row>
    <row r="213" spans="4:27" x14ac:dyDescent="0.3">
      <c r="D213" s="623"/>
      <c r="E213" s="623"/>
      <c r="F213" s="623"/>
      <c r="J213" s="30"/>
      <c r="Z213" s="30"/>
      <c r="AA213" s="30"/>
    </row>
    <row r="214" spans="4:27" x14ac:dyDescent="0.3">
      <c r="D214" s="623"/>
      <c r="E214" s="623"/>
      <c r="F214" s="623"/>
    </row>
    <row r="215" spans="4:27" x14ac:dyDescent="0.3">
      <c r="D215" s="623"/>
      <c r="E215" s="623"/>
      <c r="F215" s="623"/>
    </row>
    <row r="216" spans="4:27" x14ac:dyDescent="0.3">
      <c r="D216" s="623"/>
      <c r="E216" s="623"/>
      <c r="F216" s="623"/>
    </row>
    <row r="217" spans="4:27" x14ac:dyDescent="0.3">
      <c r="D217" s="623"/>
      <c r="E217" s="623"/>
      <c r="F217" s="623"/>
    </row>
    <row r="218" spans="4:27" x14ac:dyDescent="0.3">
      <c r="D218" s="623"/>
      <c r="E218" s="623"/>
      <c r="F218" s="623"/>
    </row>
    <row r="219" spans="4:27" x14ac:dyDescent="0.3">
      <c r="D219" s="623"/>
      <c r="E219" s="623"/>
      <c r="F219" s="623"/>
    </row>
    <row r="220" spans="4:27" x14ac:dyDescent="0.3">
      <c r="D220" s="623"/>
      <c r="E220" s="623"/>
      <c r="F220" s="623"/>
    </row>
    <row r="221" spans="4:27" x14ac:dyDescent="0.3">
      <c r="D221" s="623"/>
      <c r="E221" s="623"/>
      <c r="F221" s="623"/>
    </row>
    <row r="222" spans="4:27" x14ac:dyDescent="0.3">
      <c r="D222" s="623"/>
      <c r="E222" s="623"/>
      <c r="F222" s="623"/>
    </row>
    <row r="223" spans="4:27" x14ac:dyDescent="0.3">
      <c r="D223" s="623"/>
      <c r="E223" s="623"/>
      <c r="F223" s="623"/>
    </row>
    <row r="224" spans="4:27" x14ac:dyDescent="0.3">
      <c r="D224" s="623"/>
      <c r="E224" s="623"/>
      <c r="F224" s="623"/>
    </row>
    <row r="225" spans="1:47" x14ac:dyDescent="0.3">
      <c r="D225" s="623"/>
      <c r="E225" s="623"/>
      <c r="F225" s="623"/>
    </row>
    <row r="226" spans="1:47" s="25" customFormat="1" x14ac:dyDescent="0.3">
      <c r="A226" s="41"/>
      <c r="B226" s="3"/>
      <c r="C226" s="12"/>
      <c r="D226" s="623"/>
      <c r="E226" s="623"/>
      <c r="F226" s="623"/>
      <c r="J226" s="26"/>
      <c r="K226" s="40"/>
      <c r="M226" s="124"/>
      <c r="N226" s="27"/>
      <c r="O226" s="27"/>
      <c r="P226" s="27"/>
      <c r="Q226" s="30"/>
      <c r="R226" s="3"/>
      <c r="S226" s="3"/>
      <c r="T226" s="72"/>
      <c r="U226" s="72"/>
      <c r="V226" s="72"/>
      <c r="W226" s="72"/>
      <c r="X226" s="28"/>
      <c r="Y226" s="28"/>
      <c r="Z226" s="28"/>
      <c r="AA226" s="28"/>
      <c r="AB226" s="28"/>
      <c r="AC226" s="28"/>
      <c r="AD226" s="28"/>
      <c r="AE226" s="28"/>
      <c r="AF226" s="3"/>
      <c r="AG226" s="3"/>
      <c r="AH226" s="3"/>
      <c r="AI226" s="3"/>
      <c r="AJ226" s="3"/>
      <c r="AK226" s="22"/>
      <c r="AL226" s="3"/>
      <c r="AM226" s="3"/>
      <c r="AN226" s="3"/>
      <c r="AO226" s="3"/>
      <c r="AP226" s="3"/>
      <c r="AQ226" s="3"/>
      <c r="AR226" s="3"/>
      <c r="AS226" s="3"/>
      <c r="AT226" s="3"/>
      <c r="AU226" s="3"/>
    </row>
    <row r="227" spans="1:47" s="25" customFormat="1" x14ac:dyDescent="0.3">
      <c r="A227" s="41"/>
      <c r="B227" s="3"/>
      <c r="C227" s="12"/>
      <c r="D227" s="623"/>
      <c r="E227" s="623"/>
      <c r="F227" s="623"/>
      <c r="J227" s="26"/>
      <c r="K227" s="40"/>
      <c r="M227" s="124"/>
      <c r="N227" s="27"/>
      <c r="O227" s="27"/>
      <c r="P227" s="27"/>
      <c r="Q227" s="30"/>
      <c r="R227" s="3"/>
      <c r="S227" s="3"/>
      <c r="T227" s="72"/>
      <c r="U227" s="72"/>
      <c r="V227" s="72"/>
      <c r="W227" s="72"/>
      <c r="X227" s="28"/>
      <c r="Y227" s="28"/>
      <c r="Z227" s="28"/>
      <c r="AA227" s="28"/>
      <c r="AB227" s="28"/>
      <c r="AC227" s="28"/>
      <c r="AD227" s="28"/>
      <c r="AE227" s="28"/>
      <c r="AF227" s="3"/>
      <c r="AG227" s="3"/>
      <c r="AH227" s="3"/>
      <c r="AI227" s="3"/>
      <c r="AJ227" s="3"/>
      <c r="AK227" s="22"/>
      <c r="AL227" s="3"/>
      <c r="AM227" s="3"/>
      <c r="AN227" s="3"/>
      <c r="AO227" s="3"/>
      <c r="AP227" s="3"/>
      <c r="AQ227" s="3"/>
      <c r="AR227" s="3"/>
      <c r="AS227" s="3"/>
      <c r="AT227" s="3"/>
      <c r="AU227" s="3"/>
    </row>
    <row r="228" spans="1:47" s="25" customFormat="1" x14ac:dyDescent="0.3">
      <c r="A228" s="41"/>
      <c r="B228" s="3"/>
      <c r="C228" s="12"/>
      <c r="D228" s="623"/>
      <c r="E228" s="623"/>
      <c r="F228" s="623"/>
      <c r="J228" s="26"/>
      <c r="K228" s="40"/>
      <c r="M228" s="124"/>
      <c r="N228" s="27"/>
      <c r="O228" s="27"/>
      <c r="P228" s="27"/>
      <c r="Q228" s="30"/>
      <c r="R228" s="3"/>
      <c r="S228" s="3"/>
      <c r="T228" s="72"/>
      <c r="U228" s="72"/>
      <c r="V228" s="72"/>
      <c r="W228" s="72"/>
      <c r="X228" s="28"/>
      <c r="Y228" s="28"/>
      <c r="Z228" s="28"/>
      <c r="AA228" s="28"/>
      <c r="AB228" s="28"/>
      <c r="AC228" s="28"/>
      <c r="AD228" s="28"/>
      <c r="AE228" s="28"/>
      <c r="AF228" s="3"/>
      <c r="AG228" s="3"/>
      <c r="AH228" s="3"/>
      <c r="AI228" s="3"/>
      <c r="AJ228" s="3"/>
      <c r="AK228" s="22"/>
      <c r="AL228" s="3"/>
      <c r="AM228" s="3"/>
      <c r="AN228" s="3"/>
      <c r="AO228" s="3"/>
      <c r="AP228" s="3"/>
      <c r="AQ228" s="3"/>
      <c r="AR228" s="3"/>
      <c r="AS228" s="3"/>
      <c r="AT228" s="3"/>
      <c r="AU228" s="3"/>
    </row>
    <row r="229" spans="1:47" s="25" customFormat="1" x14ac:dyDescent="0.3">
      <c r="A229" s="41"/>
      <c r="B229" s="3"/>
      <c r="C229" s="12"/>
      <c r="D229" s="623"/>
      <c r="E229" s="623"/>
      <c r="F229" s="623"/>
      <c r="J229" s="26"/>
      <c r="K229" s="40"/>
      <c r="M229" s="124"/>
      <c r="N229" s="27"/>
      <c r="O229" s="27"/>
      <c r="P229" s="27"/>
      <c r="Q229" s="30"/>
      <c r="R229" s="3"/>
      <c r="S229" s="3"/>
      <c r="T229" s="72"/>
      <c r="U229" s="72"/>
      <c r="V229" s="72"/>
      <c r="W229" s="72"/>
      <c r="X229" s="28"/>
      <c r="Y229" s="28"/>
      <c r="Z229" s="28"/>
      <c r="AA229" s="28"/>
      <c r="AB229" s="28"/>
      <c r="AC229" s="28"/>
      <c r="AD229" s="28"/>
      <c r="AE229" s="28"/>
      <c r="AF229" s="3"/>
      <c r="AG229" s="3"/>
      <c r="AH229" s="3"/>
      <c r="AI229" s="3"/>
      <c r="AJ229" s="3"/>
      <c r="AK229" s="22"/>
      <c r="AL229" s="3"/>
      <c r="AM229" s="3"/>
      <c r="AN229" s="3"/>
      <c r="AO229" s="3"/>
      <c r="AP229" s="3"/>
      <c r="AQ229" s="3"/>
      <c r="AR229" s="3"/>
      <c r="AS229" s="3"/>
      <c r="AT229" s="3"/>
      <c r="AU229" s="3"/>
    </row>
    <row r="230" spans="1:47" s="25" customFormat="1" x14ac:dyDescent="0.3">
      <c r="A230" s="41"/>
      <c r="B230" s="3"/>
      <c r="C230" s="12"/>
      <c r="D230" s="623"/>
      <c r="E230" s="623"/>
      <c r="F230" s="623"/>
      <c r="J230" s="26"/>
      <c r="K230" s="40"/>
      <c r="M230" s="124"/>
      <c r="N230" s="27"/>
      <c r="O230" s="27"/>
      <c r="P230" s="27"/>
      <c r="Q230" s="30"/>
      <c r="R230" s="3"/>
      <c r="S230" s="3"/>
      <c r="T230" s="72"/>
      <c r="U230" s="72"/>
      <c r="V230" s="72"/>
      <c r="W230" s="72"/>
      <c r="X230" s="28"/>
      <c r="Y230" s="28"/>
      <c r="Z230" s="28"/>
      <c r="AA230" s="28"/>
      <c r="AB230" s="28"/>
      <c r="AC230" s="28"/>
      <c r="AD230" s="28"/>
      <c r="AE230" s="28"/>
      <c r="AF230" s="3"/>
      <c r="AG230" s="3"/>
      <c r="AH230" s="3"/>
      <c r="AI230" s="3"/>
      <c r="AJ230" s="3"/>
      <c r="AK230" s="22"/>
      <c r="AL230" s="3"/>
      <c r="AM230" s="3"/>
      <c r="AN230" s="3"/>
      <c r="AO230" s="3"/>
      <c r="AP230" s="3"/>
      <c r="AQ230" s="3"/>
      <c r="AR230" s="3"/>
      <c r="AS230" s="3"/>
      <c r="AT230" s="3"/>
      <c r="AU230" s="3"/>
    </row>
    <row r="231" spans="1:47" s="25" customFormat="1" x14ac:dyDescent="0.3">
      <c r="A231" s="41"/>
      <c r="B231" s="3"/>
      <c r="C231" s="12"/>
      <c r="D231" s="623"/>
      <c r="E231" s="623"/>
      <c r="F231" s="623"/>
      <c r="J231" s="26"/>
      <c r="K231" s="40"/>
      <c r="M231" s="124"/>
      <c r="N231" s="27"/>
      <c r="O231" s="27"/>
      <c r="P231" s="27"/>
      <c r="Q231" s="30"/>
      <c r="R231" s="3"/>
      <c r="S231" s="3"/>
      <c r="T231" s="72"/>
      <c r="U231" s="72"/>
      <c r="V231" s="72"/>
      <c r="W231" s="72"/>
      <c r="X231" s="28"/>
      <c r="Y231" s="28"/>
      <c r="Z231" s="28"/>
      <c r="AA231" s="28"/>
      <c r="AB231" s="28"/>
      <c r="AC231" s="28"/>
      <c r="AD231" s="28"/>
      <c r="AE231" s="28"/>
      <c r="AF231" s="3"/>
      <c r="AG231" s="3"/>
      <c r="AH231" s="3"/>
      <c r="AI231" s="3"/>
      <c r="AJ231" s="3"/>
      <c r="AK231" s="22"/>
      <c r="AL231" s="3"/>
      <c r="AM231" s="3"/>
      <c r="AN231" s="3"/>
      <c r="AO231" s="3"/>
      <c r="AP231" s="3"/>
      <c r="AQ231" s="3"/>
      <c r="AR231" s="3"/>
      <c r="AS231" s="3"/>
      <c r="AT231" s="3"/>
      <c r="AU231" s="3"/>
    </row>
    <row r="232" spans="1:47" s="25" customFormat="1" x14ac:dyDescent="0.3">
      <c r="A232" s="41"/>
      <c r="B232" s="3"/>
      <c r="C232" s="12"/>
      <c r="D232" s="623"/>
      <c r="E232" s="623"/>
      <c r="F232" s="623"/>
      <c r="J232" s="26"/>
      <c r="K232" s="40"/>
      <c r="M232" s="124"/>
      <c r="N232" s="27"/>
      <c r="O232" s="27"/>
      <c r="P232" s="27"/>
      <c r="Q232" s="30"/>
      <c r="R232" s="3"/>
      <c r="S232" s="3"/>
      <c r="T232" s="72"/>
      <c r="U232" s="72"/>
      <c r="V232" s="72"/>
      <c r="W232" s="72"/>
      <c r="X232" s="28"/>
      <c r="Y232" s="28"/>
      <c r="Z232" s="28"/>
      <c r="AA232" s="28"/>
      <c r="AB232" s="28"/>
      <c r="AC232" s="28"/>
      <c r="AD232" s="28"/>
      <c r="AE232" s="28"/>
      <c r="AF232" s="3"/>
      <c r="AG232" s="3"/>
      <c r="AH232" s="3"/>
      <c r="AI232" s="3"/>
      <c r="AJ232" s="3"/>
      <c r="AK232" s="22"/>
      <c r="AL232" s="3"/>
      <c r="AM232" s="3"/>
      <c r="AN232" s="3"/>
      <c r="AO232" s="3"/>
      <c r="AP232" s="3"/>
      <c r="AQ232" s="3"/>
      <c r="AR232" s="3"/>
      <c r="AS232" s="3"/>
      <c r="AT232" s="3"/>
      <c r="AU232" s="3"/>
    </row>
    <row r="233" spans="1:47" s="25" customFormat="1" x14ac:dyDescent="0.3">
      <c r="A233" s="41"/>
      <c r="B233" s="3"/>
      <c r="C233" s="12"/>
      <c r="D233" s="623"/>
      <c r="E233" s="623"/>
      <c r="F233" s="623"/>
      <c r="J233" s="26"/>
      <c r="K233" s="40"/>
      <c r="M233" s="124"/>
      <c r="N233" s="27"/>
      <c r="O233" s="27"/>
      <c r="P233" s="27"/>
      <c r="Q233" s="30"/>
      <c r="R233" s="3"/>
      <c r="S233" s="3"/>
      <c r="T233" s="72"/>
      <c r="U233" s="72"/>
      <c r="V233" s="72"/>
      <c r="W233" s="72"/>
      <c r="X233" s="28"/>
      <c r="Y233" s="28"/>
      <c r="Z233" s="28"/>
      <c r="AA233" s="28"/>
      <c r="AB233" s="28"/>
      <c r="AC233" s="28"/>
      <c r="AD233" s="28"/>
      <c r="AE233" s="28"/>
      <c r="AF233" s="3"/>
      <c r="AG233" s="3"/>
      <c r="AH233" s="3"/>
      <c r="AI233" s="3"/>
      <c r="AJ233" s="3"/>
      <c r="AK233" s="22"/>
      <c r="AL233" s="3"/>
      <c r="AM233" s="3"/>
      <c r="AN233" s="3"/>
      <c r="AO233" s="3"/>
      <c r="AP233" s="3"/>
      <c r="AQ233" s="3"/>
      <c r="AR233" s="3"/>
      <c r="AS233" s="3"/>
      <c r="AT233" s="3"/>
      <c r="AU233" s="3"/>
    </row>
    <row r="234" spans="1:47" s="25" customFormat="1" x14ac:dyDescent="0.3">
      <c r="A234" s="41"/>
      <c r="B234" s="3"/>
      <c r="C234" s="12"/>
      <c r="D234" s="623"/>
      <c r="E234" s="623"/>
      <c r="F234" s="623"/>
      <c r="J234" s="26"/>
      <c r="K234" s="40"/>
      <c r="M234" s="124"/>
      <c r="N234" s="27"/>
      <c r="O234" s="27"/>
      <c r="P234" s="27"/>
      <c r="Q234" s="30"/>
      <c r="R234" s="3"/>
      <c r="S234" s="3"/>
      <c r="T234" s="72"/>
      <c r="U234" s="72"/>
      <c r="V234" s="72"/>
      <c r="W234" s="72"/>
      <c r="X234" s="28"/>
      <c r="Y234" s="28"/>
      <c r="Z234" s="28"/>
      <c r="AA234" s="28"/>
      <c r="AB234" s="28"/>
      <c r="AC234" s="28"/>
      <c r="AD234" s="28"/>
      <c r="AE234" s="28"/>
      <c r="AF234" s="3"/>
      <c r="AG234" s="3"/>
      <c r="AH234" s="3"/>
      <c r="AI234" s="3"/>
      <c r="AJ234" s="3"/>
      <c r="AK234" s="22"/>
      <c r="AL234" s="3"/>
      <c r="AM234" s="3"/>
      <c r="AN234" s="3"/>
      <c r="AO234" s="3"/>
      <c r="AP234" s="3"/>
      <c r="AQ234" s="3"/>
      <c r="AR234" s="3"/>
      <c r="AS234" s="3"/>
      <c r="AT234" s="3"/>
      <c r="AU234" s="3"/>
    </row>
    <row r="235" spans="1:47" s="25" customFormat="1" x14ac:dyDescent="0.3">
      <c r="A235" s="41"/>
      <c r="B235" s="3"/>
      <c r="C235" s="12"/>
      <c r="D235" s="623"/>
      <c r="E235" s="623"/>
      <c r="F235" s="623"/>
      <c r="J235" s="26"/>
      <c r="K235" s="40"/>
      <c r="M235" s="124"/>
      <c r="N235" s="27"/>
      <c r="O235" s="27"/>
      <c r="P235" s="27"/>
      <c r="Q235" s="30"/>
      <c r="R235" s="3"/>
      <c r="S235" s="3"/>
      <c r="T235" s="72"/>
      <c r="U235" s="72"/>
      <c r="V235" s="72"/>
      <c r="W235" s="72"/>
      <c r="X235" s="28"/>
      <c r="Y235" s="28"/>
      <c r="Z235" s="28"/>
      <c r="AA235" s="28"/>
      <c r="AB235" s="28"/>
      <c r="AC235" s="28"/>
      <c r="AD235" s="28"/>
      <c r="AE235" s="28"/>
      <c r="AF235" s="3"/>
      <c r="AG235" s="3"/>
      <c r="AH235" s="3"/>
      <c r="AI235" s="3"/>
      <c r="AJ235" s="3"/>
      <c r="AK235" s="22"/>
      <c r="AL235" s="3"/>
      <c r="AM235" s="3"/>
      <c r="AN235" s="3"/>
      <c r="AO235" s="3"/>
      <c r="AP235" s="3"/>
      <c r="AQ235" s="3"/>
      <c r="AR235" s="3"/>
      <c r="AS235" s="3"/>
      <c r="AT235" s="3"/>
      <c r="AU235" s="3"/>
    </row>
    <row r="236" spans="1:47" s="25" customFormat="1" x14ac:dyDescent="0.3">
      <c r="A236" s="41"/>
      <c r="B236" s="3"/>
      <c r="C236" s="12"/>
      <c r="D236" s="623"/>
      <c r="E236" s="623"/>
      <c r="F236" s="623"/>
      <c r="J236" s="26"/>
      <c r="K236" s="40"/>
      <c r="M236" s="124"/>
      <c r="N236" s="27"/>
      <c r="O236" s="27"/>
      <c r="P236" s="27"/>
      <c r="Q236" s="30"/>
      <c r="R236" s="3"/>
      <c r="S236" s="3"/>
      <c r="T236" s="72"/>
      <c r="U236" s="72"/>
      <c r="V236" s="72"/>
      <c r="W236" s="72"/>
      <c r="X236" s="28"/>
      <c r="Y236" s="28"/>
      <c r="Z236" s="28"/>
      <c r="AA236" s="28"/>
      <c r="AB236" s="28"/>
      <c r="AC236" s="28"/>
      <c r="AD236" s="28"/>
      <c r="AE236" s="28"/>
      <c r="AF236" s="3"/>
      <c r="AG236" s="3"/>
      <c r="AH236" s="3"/>
      <c r="AI236" s="3"/>
      <c r="AJ236" s="3"/>
      <c r="AK236" s="22"/>
      <c r="AL236" s="3"/>
      <c r="AM236" s="3"/>
      <c r="AN236" s="3"/>
      <c r="AO236" s="3"/>
      <c r="AP236" s="3"/>
      <c r="AQ236" s="3"/>
      <c r="AR236" s="3"/>
      <c r="AS236" s="3"/>
      <c r="AT236" s="3"/>
      <c r="AU236" s="3"/>
    </row>
    <row r="237" spans="1:47" s="25" customFormat="1" x14ac:dyDescent="0.3">
      <c r="A237" s="41"/>
      <c r="B237" s="3"/>
      <c r="C237" s="12"/>
      <c r="D237" s="623"/>
      <c r="E237" s="623"/>
      <c r="F237" s="623"/>
      <c r="J237" s="26"/>
      <c r="K237" s="40"/>
      <c r="M237" s="124"/>
      <c r="N237" s="27"/>
      <c r="O237" s="27"/>
      <c r="P237" s="27"/>
      <c r="Q237" s="30"/>
      <c r="R237" s="3"/>
      <c r="S237" s="3"/>
      <c r="T237" s="72"/>
      <c r="U237" s="72"/>
      <c r="V237" s="72"/>
      <c r="W237" s="72"/>
      <c r="X237" s="28"/>
      <c r="Y237" s="28"/>
      <c r="Z237" s="28"/>
      <c r="AA237" s="28"/>
      <c r="AB237" s="28"/>
      <c r="AC237" s="28"/>
      <c r="AD237" s="28"/>
      <c r="AE237" s="28"/>
      <c r="AF237" s="3"/>
      <c r="AG237" s="3"/>
      <c r="AH237" s="3"/>
      <c r="AI237" s="3"/>
      <c r="AJ237" s="3"/>
      <c r="AK237" s="22"/>
      <c r="AL237" s="3"/>
      <c r="AM237" s="3"/>
      <c r="AN237" s="3"/>
      <c r="AO237" s="3"/>
      <c r="AP237" s="3"/>
      <c r="AQ237" s="3"/>
      <c r="AR237" s="3"/>
      <c r="AS237" s="3"/>
      <c r="AT237" s="3"/>
      <c r="AU237" s="3"/>
    </row>
    <row r="238" spans="1:47" s="25" customFormat="1" x14ac:dyDescent="0.3">
      <c r="A238" s="41"/>
      <c r="B238" s="3"/>
      <c r="C238" s="12"/>
      <c r="D238" s="623"/>
      <c r="E238" s="623"/>
      <c r="F238" s="623"/>
      <c r="J238" s="26"/>
      <c r="K238" s="40"/>
      <c r="M238" s="124"/>
      <c r="N238" s="27"/>
      <c r="O238" s="27"/>
      <c r="P238" s="27"/>
      <c r="Q238" s="30"/>
      <c r="R238" s="3"/>
      <c r="S238" s="3"/>
      <c r="T238" s="72"/>
      <c r="U238" s="72"/>
      <c r="V238" s="72"/>
      <c r="W238" s="72"/>
      <c r="X238" s="28"/>
      <c r="Y238" s="28"/>
      <c r="Z238" s="28"/>
      <c r="AA238" s="28"/>
      <c r="AB238" s="28"/>
      <c r="AC238" s="28"/>
      <c r="AD238" s="28"/>
      <c r="AE238" s="28"/>
      <c r="AF238" s="3"/>
      <c r="AG238" s="3"/>
      <c r="AH238" s="3"/>
      <c r="AI238" s="3"/>
      <c r="AJ238" s="3"/>
      <c r="AK238" s="22"/>
      <c r="AL238" s="3"/>
      <c r="AM238" s="3"/>
      <c r="AN238" s="3"/>
      <c r="AO238" s="3"/>
      <c r="AP238" s="3"/>
      <c r="AQ238" s="3"/>
      <c r="AR238" s="3"/>
      <c r="AS238" s="3"/>
      <c r="AT238" s="3"/>
      <c r="AU238" s="3"/>
    </row>
    <row r="239" spans="1:47" s="25" customFormat="1" x14ac:dyDescent="0.3">
      <c r="A239" s="41"/>
      <c r="B239" s="3"/>
      <c r="C239" s="12"/>
      <c r="D239" s="623"/>
      <c r="E239" s="623"/>
      <c r="F239" s="623"/>
      <c r="J239" s="26"/>
      <c r="K239" s="40"/>
      <c r="M239" s="124"/>
      <c r="N239" s="27"/>
      <c r="O239" s="27"/>
      <c r="P239" s="27"/>
      <c r="Q239" s="30"/>
      <c r="R239" s="3"/>
      <c r="S239" s="3"/>
      <c r="T239" s="72"/>
      <c r="U239" s="72"/>
      <c r="V239" s="72"/>
      <c r="W239" s="72"/>
      <c r="X239" s="28"/>
      <c r="Y239" s="28"/>
      <c r="Z239" s="28"/>
      <c r="AA239" s="28"/>
      <c r="AB239" s="28"/>
      <c r="AC239" s="28"/>
      <c r="AD239" s="28"/>
      <c r="AE239" s="28"/>
      <c r="AF239" s="3"/>
      <c r="AG239" s="3"/>
      <c r="AH239" s="3"/>
      <c r="AI239" s="3"/>
      <c r="AJ239" s="3"/>
      <c r="AK239" s="22"/>
      <c r="AL239" s="3"/>
      <c r="AM239" s="3"/>
      <c r="AN239" s="3"/>
      <c r="AO239" s="3"/>
      <c r="AP239" s="3"/>
      <c r="AQ239" s="3"/>
      <c r="AR239" s="3"/>
      <c r="AS239" s="3"/>
      <c r="AT239" s="3"/>
      <c r="AU239" s="3"/>
    </row>
    <row r="240" spans="1:47" s="25" customFormat="1" x14ac:dyDescent="0.3">
      <c r="A240" s="41"/>
      <c r="B240" s="3"/>
      <c r="C240" s="12"/>
      <c r="D240" s="623"/>
      <c r="E240" s="623"/>
      <c r="F240" s="623"/>
      <c r="J240" s="26"/>
      <c r="K240" s="40"/>
      <c r="M240" s="124"/>
      <c r="N240" s="27"/>
      <c r="O240" s="27"/>
      <c r="P240" s="27"/>
      <c r="Q240" s="30"/>
      <c r="R240" s="3"/>
      <c r="S240" s="3"/>
      <c r="T240" s="72"/>
      <c r="U240" s="72"/>
      <c r="V240" s="72"/>
      <c r="W240" s="72"/>
      <c r="X240" s="28"/>
      <c r="Y240" s="28"/>
      <c r="Z240" s="28"/>
      <c r="AA240" s="28"/>
      <c r="AB240" s="28"/>
      <c r="AC240" s="28"/>
      <c r="AD240" s="28"/>
      <c r="AE240" s="28"/>
      <c r="AF240" s="3"/>
      <c r="AG240" s="3"/>
      <c r="AH240" s="3"/>
      <c r="AI240" s="3"/>
      <c r="AJ240" s="3"/>
      <c r="AK240" s="22"/>
      <c r="AL240" s="3"/>
      <c r="AM240" s="3"/>
      <c r="AN240" s="3"/>
      <c r="AO240" s="3"/>
      <c r="AP240" s="3"/>
      <c r="AQ240" s="3"/>
      <c r="AR240" s="3"/>
      <c r="AS240" s="3"/>
      <c r="AT240" s="3"/>
      <c r="AU240" s="3"/>
    </row>
    <row r="241" spans="1:47" s="25" customFormat="1" x14ac:dyDescent="0.3">
      <c r="A241" s="41"/>
      <c r="B241" s="3"/>
      <c r="C241" s="12"/>
      <c r="D241" s="623"/>
      <c r="E241" s="623"/>
      <c r="F241" s="623"/>
      <c r="J241" s="26"/>
      <c r="K241" s="40"/>
      <c r="M241" s="124"/>
      <c r="N241" s="27"/>
      <c r="O241" s="27"/>
      <c r="P241" s="27"/>
      <c r="Q241" s="30"/>
      <c r="R241" s="3"/>
      <c r="S241" s="3"/>
      <c r="T241" s="72"/>
      <c r="U241" s="72"/>
      <c r="V241" s="72"/>
      <c r="W241" s="72"/>
      <c r="X241" s="28"/>
      <c r="Y241" s="28"/>
      <c r="Z241" s="28"/>
      <c r="AA241" s="28"/>
      <c r="AB241" s="28"/>
      <c r="AC241" s="28"/>
      <c r="AD241" s="28"/>
      <c r="AE241" s="28"/>
      <c r="AF241" s="3"/>
      <c r="AG241" s="3"/>
      <c r="AH241" s="3"/>
      <c r="AI241" s="3"/>
      <c r="AJ241" s="3"/>
      <c r="AK241" s="22"/>
      <c r="AL241" s="3"/>
      <c r="AM241" s="3"/>
      <c r="AN241" s="3"/>
      <c r="AO241" s="3"/>
      <c r="AP241" s="3"/>
      <c r="AQ241" s="3"/>
      <c r="AR241" s="3"/>
      <c r="AS241" s="3"/>
      <c r="AT241" s="3"/>
      <c r="AU241" s="3"/>
    </row>
  </sheetData>
  <mergeCells count="480">
    <mergeCell ref="O85:R85"/>
    <mergeCell ref="E91:H91"/>
    <mergeCell ref="O91:R91"/>
    <mergeCell ref="E125:H125"/>
    <mergeCell ref="O125:R125"/>
    <mergeCell ref="E135:H135"/>
    <mergeCell ref="K135:L135"/>
    <mergeCell ref="O135:R135"/>
    <mergeCell ref="G52:H52"/>
    <mergeCell ref="G53:H53"/>
    <mergeCell ref="G54:H54"/>
    <mergeCell ref="G55:H55"/>
    <mergeCell ref="G56:H56"/>
    <mergeCell ref="G57:H57"/>
    <mergeCell ref="G58:H58"/>
    <mergeCell ref="G59:H59"/>
    <mergeCell ref="O130:R130"/>
    <mergeCell ref="O131:R131"/>
    <mergeCell ref="O132:R132"/>
    <mergeCell ref="O133:R133"/>
    <mergeCell ref="O134:R134"/>
    <mergeCell ref="O107:R107"/>
    <mergeCell ref="O108:R108"/>
    <mergeCell ref="O109:R109"/>
    <mergeCell ref="G43:H43"/>
    <mergeCell ref="G44:H44"/>
    <mergeCell ref="G45:H45"/>
    <mergeCell ref="G46:H46"/>
    <mergeCell ref="G47:H47"/>
    <mergeCell ref="G48:H48"/>
    <mergeCell ref="G49:H49"/>
    <mergeCell ref="G50:H50"/>
    <mergeCell ref="G51:H51"/>
    <mergeCell ref="G26:H26"/>
    <mergeCell ref="G27:H27"/>
    <mergeCell ref="G28:H28"/>
    <mergeCell ref="G29:H29"/>
    <mergeCell ref="G30:H30"/>
    <mergeCell ref="G31:H31"/>
    <mergeCell ref="G32:H32"/>
    <mergeCell ref="G33:H33"/>
    <mergeCell ref="G34:H34"/>
    <mergeCell ref="O139:R139"/>
    <mergeCell ref="O140:R140"/>
    <mergeCell ref="O141:R141"/>
    <mergeCell ref="O142:R142"/>
    <mergeCell ref="O143:R143"/>
    <mergeCell ref="O144:R144"/>
    <mergeCell ref="O145:R145"/>
    <mergeCell ref="G17:H17"/>
    <mergeCell ref="G18:H18"/>
    <mergeCell ref="G19:H19"/>
    <mergeCell ref="G20:H20"/>
    <mergeCell ref="G21:H21"/>
    <mergeCell ref="G22:H22"/>
    <mergeCell ref="G23:H23"/>
    <mergeCell ref="G24:H24"/>
    <mergeCell ref="G25:H25"/>
    <mergeCell ref="G35:H35"/>
    <mergeCell ref="G36:H36"/>
    <mergeCell ref="G37:H37"/>
    <mergeCell ref="G38:H38"/>
    <mergeCell ref="G39:H39"/>
    <mergeCell ref="G40:H40"/>
    <mergeCell ref="G41:H41"/>
    <mergeCell ref="G42:H42"/>
    <mergeCell ref="O136:R136"/>
    <mergeCell ref="O137:R137"/>
    <mergeCell ref="O138:R138"/>
    <mergeCell ref="O119:R119"/>
    <mergeCell ref="O120:R120"/>
    <mergeCell ref="O121:R121"/>
    <mergeCell ref="O122:R122"/>
    <mergeCell ref="O126:R126"/>
    <mergeCell ref="O127:R127"/>
    <mergeCell ref="O124:R124"/>
    <mergeCell ref="O128:R128"/>
    <mergeCell ref="O129:R129"/>
    <mergeCell ref="O123:R123"/>
    <mergeCell ref="O110:R110"/>
    <mergeCell ref="O112:R112"/>
    <mergeCell ref="O114:R114"/>
    <mergeCell ref="O115:R115"/>
    <mergeCell ref="O116:R116"/>
    <mergeCell ref="O117:R117"/>
    <mergeCell ref="O111:R111"/>
    <mergeCell ref="O113:R113"/>
    <mergeCell ref="O96:R96"/>
    <mergeCell ref="O97:R97"/>
    <mergeCell ref="O98:R98"/>
    <mergeCell ref="O100:R100"/>
    <mergeCell ref="O101:R101"/>
    <mergeCell ref="O102:R102"/>
    <mergeCell ref="O103:R103"/>
    <mergeCell ref="O99:R99"/>
    <mergeCell ref="O106:R106"/>
    <mergeCell ref="O105:R105"/>
    <mergeCell ref="O104:R104"/>
    <mergeCell ref="K144:L144"/>
    <mergeCell ref="K145:L145"/>
    <mergeCell ref="T71:AE71"/>
    <mergeCell ref="O73:R73"/>
    <mergeCell ref="O74:R74"/>
    <mergeCell ref="O75:R75"/>
    <mergeCell ref="O76:R76"/>
    <mergeCell ref="O77:R77"/>
    <mergeCell ref="O78:R78"/>
    <mergeCell ref="O79:R79"/>
    <mergeCell ref="O80:R80"/>
    <mergeCell ref="O81:R81"/>
    <mergeCell ref="O82:R82"/>
    <mergeCell ref="O83:R83"/>
    <mergeCell ref="O86:R86"/>
    <mergeCell ref="O87:R87"/>
    <mergeCell ref="O88:R88"/>
    <mergeCell ref="O89:R89"/>
    <mergeCell ref="O90:R90"/>
    <mergeCell ref="O92:R92"/>
    <mergeCell ref="O93:R93"/>
    <mergeCell ref="O94:R94"/>
    <mergeCell ref="O95:R95"/>
    <mergeCell ref="K136:L136"/>
    <mergeCell ref="K137:L137"/>
    <mergeCell ref="K138:L138"/>
    <mergeCell ref="K139:L139"/>
    <mergeCell ref="K140:L140"/>
    <mergeCell ref="K141:L141"/>
    <mergeCell ref="K142:L142"/>
    <mergeCell ref="K143:L143"/>
    <mergeCell ref="K127:L127"/>
    <mergeCell ref="K128:L128"/>
    <mergeCell ref="K129:L129"/>
    <mergeCell ref="K130:L130"/>
    <mergeCell ref="K131:L131"/>
    <mergeCell ref="K132:L132"/>
    <mergeCell ref="K133:L133"/>
    <mergeCell ref="K134:L134"/>
    <mergeCell ref="K116:L116"/>
    <mergeCell ref="K117:L117"/>
    <mergeCell ref="K119:L119"/>
    <mergeCell ref="K120:L120"/>
    <mergeCell ref="K121:L121"/>
    <mergeCell ref="K122:L122"/>
    <mergeCell ref="K123:L123"/>
    <mergeCell ref="K126:L126"/>
    <mergeCell ref="K124:L124"/>
    <mergeCell ref="K106:L106"/>
    <mergeCell ref="K107:L107"/>
    <mergeCell ref="K108:L108"/>
    <mergeCell ref="K109:L109"/>
    <mergeCell ref="K110:L110"/>
    <mergeCell ref="K112:L112"/>
    <mergeCell ref="K114:L114"/>
    <mergeCell ref="K115:L115"/>
    <mergeCell ref="K104:L104"/>
    <mergeCell ref="K95:L95"/>
    <mergeCell ref="K96:L96"/>
    <mergeCell ref="K97:L97"/>
    <mergeCell ref="K98:L98"/>
    <mergeCell ref="K100:L100"/>
    <mergeCell ref="K101:L101"/>
    <mergeCell ref="K102:L102"/>
    <mergeCell ref="K99:L99"/>
    <mergeCell ref="K103:L103"/>
    <mergeCell ref="K83:L83"/>
    <mergeCell ref="K86:L86"/>
    <mergeCell ref="K87:L87"/>
    <mergeCell ref="K88:L88"/>
    <mergeCell ref="K89:L89"/>
    <mergeCell ref="K90:L90"/>
    <mergeCell ref="K92:L92"/>
    <mergeCell ref="K93:L93"/>
    <mergeCell ref="K94:L94"/>
    <mergeCell ref="K85:L85"/>
    <mergeCell ref="K74:L74"/>
    <mergeCell ref="K75:L75"/>
    <mergeCell ref="K76:L76"/>
    <mergeCell ref="K77:L77"/>
    <mergeCell ref="K78:L78"/>
    <mergeCell ref="K79:L79"/>
    <mergeCell ref="K80:L80"/>
    <mergeCell ref="K81:L81"/>
    <mergeCell ref="K82:L82"/>
    <mergeCell ref="D4:F4"/>
    <mergeCell ref="D5:F5"/>
    <mergeCell ref="D6:F6"/>
    <mergeCell ref="D7:F7"/>
    <mergeCell ref="T2:AE2"/>
    <mergeCell ref="D15:F15"/>
    <mergeCell ref="D16:F16"/>
    <mergeCell ref="G4:H4"/>
    <mergeCell ref="G5:H5"/>
    <mergeCell ref="G6:H6"/>
    <mergeCell ref="G7:H7"/>
    <mergeCell ref="G8:H8"/>
    <mergeCell ref="G9:H9"/>
    <mergeCell ref="G10:H10"/>
    <mergeCell ref="G11:H11"/>
    <mergeCell ref="G12:H12"/>
    <mergeCell ref="G13:H13"/>
    <mergeCell ref="G14:H14"/>
    <mergeCell ref="G15:H15"/>
    <mergeCell ref="G16:H16"/>
    <mergeCell ref="D12:F12"/>
    <mergeCell ref="D13:F13"/>
    <mergeCell ref="D10:F10"/>
    <mergeCell ref="D11:F11"/>
    <mergeCell ref="D8:F8"/>
    <mergeCell ref="D9:F9"/>
    <mergeCell ref="D26:F26"/>
    <mergeCell ref="D27:F27"/>
    <mergeCell ref="D28:F28"/>
    <mergeCell ref="D23:F23"/>
    <mergeCell ref="D24:F24"/>
    <mergeCell ref="D25:F25"/>
    <mergeCell ref="D20:F20"/>
    <mergeCell ref="D21:F21"/>
    <mergeCell ref="D22:F22"/>
    <mergeCell ref="D17:F17"/>
    <mergeCell ref="D18:F18"/>
    <mergeCell ref="D19:F19"/>
    <mergeCell ref="D45:F45"/>
    <mergeCell ref="D46:F46"/>
    <mergeCell ref="D37:F37"/>
    <mergeCell ref="D38:F38"/>
    <mergeCell ref="D39:F39"/>
    <mergeCell ref="D40:F40"/>
    <mergeCell ref="D41:F41"/>
    <mergeCell ref="D63:F63"/>
    <mergeCell ref="D14:F14"/>
    <mergeCell ref="D29:F29"/>
    <mergeCell ref="D35:F35"/>
    <mergeCell ref="D36:F36"/>
    <mergeCell ref="D30:F30"/>
    <mergeCell ref="D31:F31"/>
    <mergeCell ref="D32:F32"/>
    <mergeCell ref="D33:F33"/>
    <mergeCell ref="D34:F34"/>
    <mergeCell ref="D42:F42"/>
    <mergeCell ref="D43:F43"/>
    <mergeCell ref="D44:F44"/>
    <mergeCell ref="D51:F51"/>
    <mergeCell ref="D52:F52"/>
    <mergeCell ref="D53:F53"/>
    <mergeCell ref="D54:F54"/>
    <mergeCell ref="D55:F55"/>
    <mergeCell ref="D47:F47"/>
    <mergeCell ref="D48:F48"/>
    <mergeCell ref="D49:F49"/>
    <mergeCell ref="D67:F67"/>
    <mergeCell ref="D50:F50"/>
    <mergeCell ref="D61:F61"/>
    <mergeCell ref="D62:F62"/>
    <mergeCell ref="D65:F65"/>
    <mergeCell ref="D64:F64"/>
    <mergeCell ref="D69:F69"/>
    <mergeCell ref="D56:F56"/>
    <mergeCell ref="D57:F57"/>
    <mergeCell ref="D58:F58"/>
    <mergeCell ref="D59:F59"/>
    <mergeCell ref="D60:F60"/>
    <mergeCell ref="D66:F66"/>
    <mergeCell ref="D70:F70"/>
    <mergeCell ref="E73:H73"/>
    <mergeCell ref="D68:F68"/>
    <mergeCell ref="C71:M71"/>
    <mergeCell ref="K73:L73"/>
    <mergeCell ref="J59:K59"/>
    <mergeCell ref="E74:H74"/>
    <mergeCell ref="E75:H75"/>
    <mergeCell ref="E76:H76"/>
    <mergeCell ref="E77:H77"/>
    <mergeCell ref="E78:H78"/>
    <mergeCell ref="E79:H79"/>
    <mergeCell ref="E80:H80"/>
    <mergeCell ref="E81:H81"/>
    <mergeCell ref="E82:H82"/>
    <mergeCell ref="E103:H103"/>
    <mergeCell ref="E99:H99"/>
    <mergeCell ref="E83:H83"/>
    <mergeCell ref="E86:H86"/>
    <mergeCell ref="E87:H87"/>
    <mergeCell ref="E88:H88"/>
    <mergeCell ref="E89:H89"/>
    <mergeCell ref="E90:H90"/>
    <mergeCell ref="E92:H92"/>
    <mergeCell ref="E93:H93"/>
    <mergeCell ref="E94:H94"/>
    <mergeCell ref="E84:H84"/>
    <mergeCell ref="E100:H100"/>
    <mergeCell ref="E101:H101"/>
    <mergeCell ref="E85:H85"/>
    <mergeCell ref="E128:H128"/>
    <mergeCell ref="E129:H129"/>
    <mergeCell ref="E130:H130"/>
    <mergeCell ref="E131:H131"/>
    <mergeCell ref="E132:H132"/>
    <mergeCell ref="E133:H133"/>
    <mergeCell ref="E134:H134"/>
    <mergeCell ref="E116:H116"/>
    <mergeCell ref="E117:H117"/>
    <mergeCell ref="E119:H119"/>
    <mergeCell ref="E120:H120"/>
    <mergeCell ref="E121:H121"/>
    <mergeCell ref="E122:H122"/>
    <mergeCell ref="E123:H123"/>
    <mergeCell ref="E126:H126"/>
    <mergeCell ref="E127:H127"/>
    <mergeCell ref="E124:H124"/>
    <mergeCell ref="E136:H136"/>
    <mergeCell ref="E137:H137"/>
    <mergeCell ref="E138:H138"/>
    <mergeCell ref="E139:H139"/>
    <mergeCell ref="E140:H140"/>
    <mergeCell ref="E141:H141"/>
    <mergeCell ref="E142:H142"/>
    <mergeCell ref="E143:H143"/>
    <mergeCell ref="E144:H144"/>
    <mergeCell ref="D169:F169"/>
    <mergeCell ref="D170:F170"/>
    <mergeCell ref="D171:F171"/>
    <mergeCell ref="D172:F172"/>
    <mergeCell ref="D173:F173"/>
    <mergeCell ref="D174:F174"/>
    <mergeCell ref="E145:H145"/>
    <mergeCell ref="D163:F163"/>
    <mergeCell ref="D164:F164"/>
    <mergeCell ref="D165:F165"/>
    <mergeCell ref="D166:F166"/>
    <mergeCell ref="D167:F167"/>
    <mergeCell ref="D168:F168"/>
    <mergeCell ref="D161:F161"/>
    <mergeCell ref="D162:F162"/>
    <mergeCell ref="D181:F181"/>
    <mergeCell ref="D182:F182"/>
    <mergeCell ref="D183:F183"/>
    <mergeCell ref="D184:F184"/>
    <mergeCell ref="D185:F185"/>
    <mergeCell ref="D186:F186"/>
    <mergeCell ref="D175:F175"/>
    <mergeCell ref="D176:F176"/>
    <mergeCell ref="D177:F177"/>
    <mergeCell ref="D178:F178"/>
    <mergeCell ref="D179:F179"/>
    <mergeCell ref="D180:F180"/>
    <mergeCell ref="D193:F193"/>
    <mergeCell ref="D194:F194"/>
    <mergeCell ref="D195:F195"/>
    <mergeCell ref="D196:F196"/>
    <mergeCell ref="D197:F197"/>
    <mergeCell ref="D198:F198"/>
    <mergeCell ref="D187:F187"/>
    <mergeCell ref="D188:F188"/>
    <mergeCell ref="D189:F189"/>
    <mergeCell ref="D190:F190"/>
    <mergeCell ref="D191:F191"/>
    <mergeCell ref="D192:F192"/>
    <mergeCell ref="D205:F205"/>
    <mergeCell ref="D206:F206"/>
    <mergeCell ref="D207:F207"/>
    <mergeCell ref="D208:F208"/>
    <mergeCell ref="D209:F209"/>
    <mergeCell ref="D210:F210"/>
    <mergeCell ref="D199:F199"/>
    <mergeCell ref="D200:F200"/>
    <mergeCell ref="D201:F201"/>
    <mergeCell ref="D202:F202"/>
    <mergeCell ref="D203:F203"/>
    <mergeCell ref="D204:F204"/>
    <mergeCell ref="D220:F220"/>
    <mergeCell ref="D221:F221"/>
    <mergeCell ref="D222:F222"/>
    <mergeCell ref="D211:F211"/>
    <mergeCell ref="D212:F212"/>
    <mergeCell ref="D213:F213"/>
    <mergeCell ref="D214:F214"/>
    <mergeCell ref="D215:F215"/>
    <mergeCell ref="D216:F216"/>
    <mergeCell ref="D241:F241"/>
    <mergeCell ref="J3:L3"/>
    <mergeCell ref="D235:F235"/>
    <mergeCell ref="D236:F236"/>
    <mergeCell ref="D237:F237"/>
    <mergeCell ref="D238:F238"/>
    <mergeCell ref="D239:F239"/>
    <mergeCell ref="D240:F240"/>
    <mergeCell ref="D229:F229"/>
    <mergeCell ref="D230:F230"/>
    <mergeCell ref="D231:F231"/>
    <mergeCell ref="D232:F232"/>
    <mergeCell ref="D233:F233"/>
    <mergeCell ref="D234:F234"/>
    <mergeCell ref="D223:F223"/>
    <mergeCell ref="D224:F224"/>
    <mergeCell ref="D225:F225"/>
    <mergeCell ref="D226:F226"/>
    <mergeCell ref="D227:F227"/>
    <mergeCell ref="D228:F228"/>
    <mergeCell ref="D217:F217"/>
    <mergeCell ref="D218:F218"/>
    <mergeCell ref="D219:F219"/>
    <mergeCell ref="E104:H104"/>
    <mergeCell ref="O118:R118"/>
    <mergeCell ref="E105:H105"/>
    <mergeCell ref="E111:H111"/>
    <mergeCell ref="E113:H113"/>
    <mergeCell ref="E118:H118"/>
    <mergeCell ref="K84:L84"/>
    <mergeCell ref="K105:L105"/>
    <mergeCell ref="K111:L111"/>
    <mergeCell ref="K113:L113"/>
    <mergeCell ref="K118:L118"/>
    <mergeCell ref="O84:R84"/>
    <mergeCell ref="E106:H106"/>
    <mergeCell ref="E107:H107"/>
    <mergeCell ref="E108:H108"/>
    <mergeCell ref="E109:H109"/>
    <mergeCell ref="E110:H110"/>
    <mergeCell ref="E112:H112"/>
    <mergeCell ref="E114:H114"/>
    <mergeCell ref="E115:H115"/>
    <mergeCell ref="E95:H95"/>
    <mergeCell ref="E96:H96"/>
    <mergeCell ref="E97:H97"/>
    <mergeCell ref="E98:H98"/>
    <mergeCell ref="E102:H102"/>
    <mergeCell ref="J4:K4"/>
    <mergeCell ref="J5:K5"/>
    <mergeCell ref="J6:K6"/>
    <mergeCell ref="J8:K8"/>
    <mergeCell ref="J9:K9"/>
    <mergeCell ref="J10:K10"/>
    <mergeCell ref="J11:K11"/>
    <mergeCell ref="J12:K12"/>
    <mergeCell ref="J13:K13"/>
    <mergeCell ref="J14:K14"/>
    <mergeCell ref="J15:K15"/>
    <mergeCell ref="J16:K16"/>
    <mergeCell ref="J17:K17"/>
    <mergeCell ref="J18:K18"/>
    <mergeCell ref="J19:K19"/>
    <mergeCell ref="J20:K20"/>
    <mergeCell ref="J21:K21"/>
    <mergeCell ref="J22:K22"/>
    <mergeCell ref="J23:K23"/>
    <mergeCell ref="J24:K24"/>
    <mergeCell ref="J25:K25"/>
    <mergeCell ref="J26:K26"/>
    <mergeCell ref="J27:K27"/>
    <mergeCell ref="J28:K28"/>
    <mergeCell ref="J29:K29"/>
    <mergeCell ref="J30:K30"/>
    <mergeCell ref="J31:K31"/>
    <mergeCell ref="J32:K32"/>
    <mergeCell ref="J33:K33"/>
    <mergeCell ref="J34:K34"/>
    <mergeCell ref="J35:K35"/>
    <mergeCell ref="J36:K36"/>
    <mergeCell ref="J37:K37"/>
    <mergeCell ref="J38:K38"/>
    <mergeCell ref="J39:K39"/>
    <mergeCell ref="J40:K40"/>
    <mergeCell ref="J41:K41"/>
    <mergeCell ref="J42:K42"/>
    <mergeCell ref="J43:K43"/>
    <mergeCell ref="J44:K44"/>
    <mergeCell ref="J45:K45"/>
    <mergeCell ref="J46:K46"/>
    <mergeCell ref="J47:K47"/>
    <mergeCell ref="J48:K48"/>
    <mergeCell ref="J49:K49"/>
    <mergeCell ref="J50:K50"/>
    <mergeCell ref="J51:K51"/>
    <mergeCell ref="J52:K52"/>
    <mergeCell ref="J53:K53"/>
    <mergeCell ref="J54:K54"/>
    <mergeCell ref="J55:K55"/>
    <mergeCell ref="J56:K56"/>
    <mergeCell ref="J57:K57"/>
    <mergeCell ref="J58:K58"/>
  </mergeCells>
  <phoneticPr fontId="18"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17697-4D7D-4C8E-97FC-1F978D1D3E2A}">
  <sheetPr codeName="Sheet13"/>
  <dimension ref="A1:AM213"/>
  <sheetViews>
    <sheetView zoomScale="60" zoomScaleNormal="60" workbookViewId="0">
      <selection activeCell="C179" sqref="C179:G179"/>
    </sheetView>
  </sheetViews>
  <sheetFormatPr defaultColWidth="9.140625" defaultRowHeight="16.5" x14ac:dyDescent="0.3"/>
  <cols>
    <col min="1" max="1" width="26.7109375" customWidth="1"/>
    <col min="2" max="2" width="41.5703125" style="3" customWidth="1"/>
    <col min="3" max="3" width="21.42578125" style="3" customWidth="1"/>
    <col min="4" max="4" width="23.140625" style="3" customWidth="1"/>
    <col min="5" max="5" width="14.85546875" style="12" customWidth="1"/>
    <col min="6" max="7" width="17.140625" style="12" customWidth="1"/>
    <col min="8" max="8" width="17.28515625" style="12" customWidth="1"/>
    <col min="9" max="9" width="26.7109375" style="36" customWidth="1"/>
    <col min="10" max="10" width="19.42578125" style="12" bestFit="1" customWidth="1"/>
    <col min="11" max="11" width="23.85546875" style="12" customWidth="1"/>
    <col min="12" max="12" width="14.85546875" style="36" customWidth="1"/>
    <col min="13" max="13" width="28.42578125" style="36" customWidth="1"/>
    <col min="14" max="14" width="23.42578125" style="12" customWidth="1"/>
    <col min="15" max="15" width="33" style="93" bestFit="1" customWidth="1"/>
    <col min="16" max="16" width="22.42578125" style="93" customWidth="1"/>
    <col min="17" max="18" width="14.85546875" style="93" customWidth="1"/>
    <col min="19" max="19" width="14.85546875" style="12" customWidth="1"/>
    <col min="20" max="23" width="14.85546875" style="93" customWidth="1"/>
    <col min="24" max="26" width="16.85546875" style="12" customWidth="1"/>
    <col min="27" max="27" width="14.85546875" style="12" customWidth="1"/>
    <col min="28" max="28" width="17.140625" style="12" customWidth="1"/>
    <col min="29" max="29" width="18.85546875" style="27" customWidth="1"/>
    <col min="30" max="31" width="18.85546875" style="3" customWidth="1"/>
    <col min="32" max="35" width="18.85546875" style="11" customWidth="1"/>
    <col min="36" max="37" width="18.85546875" style="3" customWidth="1"/>
    <col min="38" max="38" width="18.85546875" customWidth="1"/>
    <col min="39" max="39" width="14.85546875" customWidth="1"/>
    <col min="40" max="40" width="16.85546875" customWidth="1"/>
  </cols>
  <sheetData>
    <row r="1" spans="1:37" ht="20.25" x14ac:dyDescent="0.3">
      <c r="A1" s="4" t="s">
        <v>407</v>
      </c>
      <c r="B1" s="268" t="s">
        <v>149</v>
      </c>
      <c r="C1" s="268"/>
      <c r="D1" s="24"/>
      <c r="E1" s="24"/>
      <c r="F1" s="24"/>
      <c r="G1" s="24"/>
      <c r="H1" s="24"/>
      <c r="I1" s="161"/>
      <c r="J1" s="24"/>
      <c r="K1" s="24"/>
      <c r="L1" s="161"/>
      <c r="M1" s="161"/>
      <c r="N1" s="24"/>
      <c r="O1" s="159"/>
      <c r="P1" s="159"/>
      <c r="Q1" s="159"/>
      <c r="R1" s="159"/>
      <c r="S1" s="24"/>
      <c r="T1" s="159"/>
      <c r="U1" s="159"/>
      <c r="V1" s="159"/>
      <c r="W1" s="159"/>
      <c r="X1" s="24"/>
      <c r="Y1" s="24"/>
      <c r="Z1" s="24"/>
      <c r="AA1" s="24"/>
      <c r="AB1" s="24"/>
    </row>
    <row r="2" spans="1:37" ht="20.25" x14ac:dyDescent="0.3">
      <c r="B2" s="267" t="s">
        <v>5</v>
      </c>
      <c r="C2" s="267"/>
      <c r="D2" s="24"/>
      <c r="E2" s="24"/>
      <c r="F2" s="24"/>
      <c r="G2" s="24"/>
      <c r="H2" s="24"/>
      <c r="I2" s="161"/>
      <c r="J2" s="24"/>
      <c r="K2" s="24"/>
      <c r="L2" s="161"/>
      <c r="M2" s="161"/>
      <c r="N2" s="24"/>
      <c r="O2" s="159"/>
      <c r="P2" s="159"/>
      <c r="Q2" s="159"/>
      <c r="R2" s="159"/>
      <c r="S2" s="24"/>
      <c r="T2" s="159"/>
      <c r="U2" s="159"/>
      <c r="V2" s="159"/>
      <c r="W2" s="159"/>
      <c r="X2" s="24"/>
      <c r="Y2" s="24"/>
      <c r="Z2" s="24"/>
      <c r="AA2" s="24"/>
      <c r="AB2" s="24"/>
    </row>
    <row r="3" spans="1:37" x14ac:dyDescent="0.3">
      <c r="A3" s="24"/>
      <c r="B3" s="24"/>
      <c r="C3" s="24"/>
      <c r="E3" s="24"/>
      <c r="F3" s="24"/>
      <c r="G3" s="24"/>
      <c r="H3" s="24"/>
      <c r="I3" s="161"/>
      <c r="J3" s="24"/>
      <c r="K3" s="24"/>
      <c r="L3" s="161"/>
      <c r="M3" s="161"/>
      <c r="N3" s="24"/>
      <c r="O3" s="159"/>
      <c r="P3" s="159"/>
      <c r="Q3" s="159"/>
      <c r="R3" s="159"/>
      <c r="S3" s="24"/>
      <c r="T3" s="159"/>
      <c r="U3" s="159"/>
      <c r="V3" s="159"/>
      <c r="W3" s="159"/>
      <c r="X3" s="24"/>
      <c r="Y3" s="24"/>
      <c r="Z3" s="24"/>
      <c r="AA3" s="24"/>
      <c r="AB3" s="24"/>
    </row>
    <row r="4" spans="1:37" x14ac:dyDescent="0.3">
      <c r="A4" s="43" t="s">
        <v>6</v>
      </c>
      <c r="B4" s="57"/>
      <c r="C4" s="24"/>
      <c r="D4" s="24"/>
      <c r="E4" s="24"/>
      <c r="F4" s="24"/>
      <c r="G4" s="24"/>
      <c r="H4" s="24"/>
      <c r="I4" s="161"/>
      <c r="J4" s="24"/>
      <c r="K4" s="24"/>
      <c r="L4" s="161"/>
      <c r="M4" s="161"/>
      <c r="N4" s="24"/>
      <c r="O4" s="159"/>
      <c r="P4" s="159"/>
      <c r="Q4" s="159"/>
      <c r="R4" s="159"/>
      <c r="S4" s="24"/>
      <c r="T4" s="159"/>
      <c r="U4" s="159"/>
      <c r="V4" s="159"/>
      <c r="W4" s="159"/>
      <c r="X4" s="24"/>
      <c r="Y4" s="24"/>
      <c r="Z4" s="24"/>
      <c r="AA4" s="24"/>
      <c r="AB4" s="24"/>
    </row>
    <row r="5" spans="1:37" x14ac:dyDescent="0.3">
      <c r="A5" s="43" t="s">
        <v>7</v>
      </c>
      <c r="B5" s="57"/>
      <c r="C5" s="24"/>
      <c r="D5" s="24"/>
      <c r="E5" s="24"/>
      <c r="F5" s="24"/>
      <c r="G5" s="24"/>
      <c r="H5" s="24"/>
      <c r="I5" s="161"/>
      <c r="J5" s="24"/>
      <c r="K5" s="24"/>
      <c r="L5" s="161"/>
      <c r="M5" s="161"/>
      <c r="N5" s="24"/>
      <c r="O5" s="159"/>
      <c r="P5" s="159"/>
      <c r="Q5" s="159"/>
      <c r="R5" s="159"/>
      <c r="S5" s="24"/>
      <c r="T5" s="159"/>
      <c r="U5" s="159"/>
      <c r="V5" s="159"/>
      <c r="W5" s="159"/>
      <c r="X5" s="24"/>
      <c r="Y5" s="24"/>
      <c r="Z5" s="24"/>
      <c r="AA5" s="24"/>
      <c r="AB5" s="24"/>
    </row>
    <row r="6" spans="1:37" ht="18" x14ac:dyDescent="0.3">
      <c r="A6" s="43" t="s">
        <v>8</v>
      </c>
      <c r="B6" s="57"/>
      <c r="C6" s="24" t="s">
        <v>835</v>
      </c>
      <c r="D6" s="6"/>
      <c r="E6" s="24"/>
      <c r="F6" s="24"/>
      <c r="G6" s="24"/>
      <c r="H6" s="24"/>
      <c r="I6" s="161"/>
      <c r="J6" s="24"/>
      <c r="K6" s="24"/>
      <c r="L6" s="161"/>
      <c r="M6" s="161"/>
      <c r="N6" s="24"/>
      <c r="O6" s="159"/>
      <c r="P6" s="159"/>
      <c r="Q6" s="159"/>
      <c r="R6" s="159"/>
      <c r="S6" s="24"/>
      <c r="T6" s="159"/>
      <c r="U6" s="159"/>
      <c r="V6" s="159"/>
      <c r="W6" s="159"/>
      <c r="X6" s="24"/>
      <c r="Y6" s="24"/>
      <c r="Z6" s="24"/>
      <c r="AA6" s="24"/>
      <c r="AB6" s="24"/>
    </row>
    <row r="7" spans="1:37" x14ac:dyDescent="0.3">
      <c r="A7" s="4"/>
      <c r="B7" s="28"/>
      <c r="C7" s="24"/>
      <c r="D7" s="6"/>
      <c r="E7" s="24"/>
      <c r="F7" s="24"/>
      <c r="G7" s="24"/>
      <c r="H7" s="24"/>
      <c r="I7" s="161"/>
      <c r="J7" s="24"/>
      <c r="K7" s="24"/>
      <c r="L7" s="161"/>
      <c r="M7" s="161"/>
      <c r="N7" s="24"/>
      <c r="O7" s="159"/>
      <c r="P7" s="159"/>
      <c r="Q7" s="159"/>
      <c r="R7" s="159"/>
      <c r="S7" s="24"/>
      <c r="T7" s="159"/>
      <c r="U7" s="159"/>
      <c r="V7" s="159"/>
      <c r="W7" s="159"/>
      <c r="X7" s="24"/>
      <c r="Y7" s="24"/>
      <c r="Z7" s="24"/>
      <c r="AA7" s="24"/>
      <c r="AB7" s="24"/>
    </row>
    <row r="8" spans="1:37" ht="15.6" customHeight="1" x14ac:dyDescent="0.3">
      <c r="A8" s="660" t="s">
        <v>801</v>
      </c>
      <c r="B8" s="660"/>
      <c r="C8" s="660"/>
      <c r="D8" s="661" t="s">
        <v>878</v>
      </c>
      <c r="E8" s="661"/>
      <c r="F8" s="661"/>
      <c r="G8" s="661"/>
      <c r="H8" s="661"/>
      <c r="I8" s="661"/>
      <c r="J8" s="28"/>
      <c r="K8" s="28"/>
      <c r="L8" s="28"/>
      <c r="M8" s="28"/>
      <c r="N8" s="28"/>
      <c r="O8" s="28"/>
      <c r="P8" s="159"/>
      <c r="Q8" s="159"/>
      <c r="R8" s="159"/>
      <c r="S8" s="24"/>
      <c r="T8" s="159"/>
      <c r="U8" s="159"/>
      <c r="V8" s="159"/>
      <c r="W8" s="159"/>
      <c r="X8" s="24"/>
      <c r="Y8" s="24"/>
      <c r="Z8" s="24"/>
      <c r="AA8" s="24"/>
      <c r="AB8" s="24"/>
    </row>
    <row r="9" spans="1:37" ht="18.75" customHeight="1" x14ac:dyDescent="0.3">
      <c r="A9" s="662" t="s">
        <v>44</v>
      </c>
      <c r="B9" s="663"/>
      <c r="C9" s="670" t="s">
        <v>151</v>
      </c>
      <c r="D9" s="668" t="s">
        <v>828</v>
      </c>
      <c r="E9" s="662" t="s">
        <v>154</v>
      </c>
      <c r="F9" s="663"/>
      <c r="G9" s="658" t="s">
        <v>153</v>
      </c>
      <c r="H9" s="662" t="s">
        <v>154</v>
      </c>
      <c r="I9" s="663"/>
      <c r="X9" s="11"/>
      <c r="Y9" s="11"/>
      <c r="Z9" s="11"/>
      <c r="AA9" s="11"/>
      <c r="AB9" s="3"/>
      <c r="AC9" s="3"/>
      <c r="AD9"/>
      <c r="AE9"/>
      <c r="AF9"/>
      <c r="AG9"/>
      <c r="AH9"/>
      <c r="AI9"/>
      <c r="AJ9"/>
      <c r="AK9"/>
    </row>
    <row r="10" spans="1:37" s="160" customFormat="1" ht="32.25" customHeight="1" x14ac:dyDescent="0.25">
      <c r="A10" s="664"/>
      <c r="B10" s="665"/>
      <c r="C10" s="671"/>
      <c r="D10" s="669"/>
      <c r="E10" s="664"/>
      <c r="F10" s="665"/>
      <c r="G10" s="659"/>
      <c r="H10" s="664"/>
      <c r="I10" s="665"/>
      <c r="J10" s="45"/>
      <c r="K10" s="44"/>
      <c r="L10" s="46"/>
      <c r="M10" s="46"/>
      <c r="N10" s="44"/>
      <c r="O10" s="128"/>
      <c r="P10" s="128"/>
      <c r="Q10" s="128"/>
      <c r="R10" s="128"/>
      <c r="S10" s="44"/>
      <c r="T10" s="128"/>
      <c r="U10" s="128"/>
      <c r="V10" s="128"/>
      <c r="W10" s="128"/>
      <c r="X10" s="46"/>
      <c r="Y10" s="46"/>
      <c r="Z10" s="44"/>
      <c r="AA10" s="44"/>
      <c r="AB10" s="47"/>
      <c r="AC10" s="47"/>
    </row>
    <row r="11" spans="1:37" x14ac:dyDescent="0.3">
      <c r="A11" s="666"/>
      <c r="B11" s="667"/>
      <c r="C11" s="39">
        <v>1</v>
      </c>
      <c r="D11" s="54"/>
      <c r="E11" s="612"/>
      <c r="F11" s="614"/>
      <c r="G11" s="55"/>
      <c r="H11" s="612"/>
      <c r="I11" s="614"/>
      <c r="J11" s="28"/>
      <c r="K11" s="3"/>
      <c r="L11" s="11"/>
      <c r="M11" s="11"/>
      <c r="N11" s="3"/>
      <c r="O11" s="22"/>
      <c r="P11" s="22"/>
      <c r="Q11" s="22"/>
      <c r="R11" s="22"/>
      <c r="S11" s="3"/>
      <c r="T11" s="22"/>
      <c r="U11" s="22"/>
      <c r="V11" s="22"/>
      <c r="W11" s="124"/>
      <c r="X11" s="33"/>
      <c r="Y11" s="33"/>
      <c r="Z11" s="4"/>
      <c r="AA11" s="4"/>
      <c r="AB11" s="1"/>
      <c r="AC11" s="1"/>
      <c r="AD11"/>
      <c r="AE11"/>
      <c r="AF11"/>
      <c r="AG11"/>
      <c r="AH11"/>
      <c r="AI11"/>
      <c r="AJ11"/>
      <c r="AK11"/>
    </row>
    <row r="12" spans="1:37" x14ac:dyDescent="0.3">
      <c r="A12" s="666"/>
      <c r="B12" s="667"/>
      <c r="C12" s="39">
        <v>2</v>
      </c>
      <c r="D12" s="54"/>
      <c r="E12" s="612"/>
      <c r="F12" s="614"/>
      <c r="G12" s="55"/>
      <c r="H12" s="612"/>
      <c r="I12" s="614"/>
      <c r="J12" s="28"/>
      <c r="K12" s="42"/>
      <c r="L12" s="133"/>
      <c r="M12" s="133"/>
      <c r="N12" s="42"/>
      <c r="O12" s="129"/>
      <c r="P12" s="129"/>
      <c r="Q12" s="129"/>
      <c r="R12" s="129"/>
      <c r="S12" s="42"/>
      <c r="T12" s="129"/>
      <c r="U12" s="129"/>
      <c r="V12" s="129"/>
      <c r="W12" s="124"/>
      <c r="X12" s="33"/>
      <c r="Y12" s="33"/>
      <c r="Z12" s="4"/>
      <c r="AA12" s="4"/>
      <c r="AB12" s="1"/>
      <c r="AC12" s="1"/>
      <c r="AD12"/>
      <c r="AE12"/>
      <c r="AF12"/>
      <c r="AG12"/>
      <c r="AH12"/>
      <c r="AI12"/>
      <c r="AJ12"/>
      <c r="AK12"/>
    </row>
    <row r="13" spans="1:37" x14ac:dyDescent="0.3">
      <c r="A13" s="666"/>
      <c r="B13" s="667"/>
      <c r="C13" s="39">
        <v>3</v>
      </c>
      <c r="D13" s="54"/>
      <c r="E13" s="612"/>
      <c r="F13" s="614"/>
      <c r="G13" s="180"/>
      <c r="H13" s="612"/>
      <c r="I13" s="614"/>
      <c r="J13" s="28"/>
      <c r="K13" s="3"/>
      <c r="L13" s="11"/>
      <c r="M13" s="11"/>
      <c r="N13" s="3"/>
      <c r="O13" s="22"/>
      <c r="P13" s="22"/>
      <c r="Q13" s="22"/>
      <c r="R13" s="22"/>
      <c r="S13" s="3"/>
      <c r="T13" s="22"/>
      <c r="U13" s="22"/>
      <c r="V13" s="22"/>
      <c r="W13" s="124"/>
      <c r="X13" s="33"/>
      <c r="Y13" s="33"/>
      <c r="Z13" s="4"/>
      <c r="AA13" s="4"/>
      <c r="AB13" s="1"/>
      <c r="AC13" s="1"/>
      <c r="AD13"/>
      <c r="AE13"/>
      <c r="AF13"/>
      <c r="AG13"/>
      <c r="AH13"/>
      <c r="AI13"/>
      <c r="AJ13"/>
      <c r="AK13"/>
    </row>
    <row r="14" spans="1:37" x14ac:dyDescent="0.3">
      <c r="A14" s="666"/>
      <c r="B14" s="667"/>
      <c r="C14" s="39">
        <v>4</v>
      </c>
      <c r="D14" s="54"/>
      <c r="E14" s="612"/>
      <c r="F14" s="614"/>
      <c r="G14" s="180"/>
      <c r="H14" s="612"/>
      <c r="I14" s="614"/>
      <c r="J14" s="28"/>
      <c r="K14" s="3"/>
      <c r="L14" s="11"/>
      <c r="M14" s="11"/>
      <c r="N14" s="3"/>
      <c r="O14" s="22"/>
      <c r="P14" s="22"/>
      <c r="Q14" s="22"/>
      <c r="R14" s="22"/>
      <c r="S14" s="3"/>
      <c r="T14" s="22"/>
      <c r="U14" s="22"/>
      <c r="V14" s="22"/>
      <c r="W14" s="124"/>
      <c r="X14" s="33"/>
      <c r="Y14" s="33"/>
      <c r="Z14" s="4"/>
      <c r="AA14" s="4"/>
      <c r="AB14" s="1"/>
      <c r="AC14" s="1"/>
      <c r="AD14"/>
      <c r="AE14"/>
      <c r="AF14"/>
      <c r="AG14"/>
      <c r="AH14"/>
      <c r="AI14"/>
      <c r="AJ14"/>
      <c r="AK14"/>
    </row>
    <row r="15" spans="1:37" x14ac:dyDescent="0.3">
      <c r="A15" s="6"/>
      <c r="B15" s="6"/>
      <c r="C15" s="28"/>
      <c r="D15" s="36"/>
      <c r="E15" s="30"/>
      <c r="F15" s="30"/>
      <c r="G15" s="93"/>
      <c r="H15" s="30"/>
      <c r="I15" s="30"/>
      <c r="J15" s="28"/>
      <c r="K15" s="3"/>
      <c r="L15" s="11"/>
      <c r="M15" s="11"/>
      <c r="N15" s="3"/>
      <c r="O15" s="22"/>
      <c r="P15" s="22"/>
      <c r="Q15" s="22"/>
      <c r="R15" s="22"/>
      <c r="S15" s="3"/>
      <c r="T15" s="22"/>
      <c r="U15" s="22"/>
      <c r="V15" s="22"/>
      <c r="W15" s="124"/>
      <c r="X15" s="33"/>
      <c r="Y15" s="33"/>
      <c r="Z15" s="4"/>
      <c r="AA15" s="4"/>
      <c r="AB15" s="1"/>
      <c r="AC15" s="1"/>
      <c r="AD15"/>
      <c r="AE15"/>
      <c r="AF15"/>
      <c r="AG15"/>
      <c r="AH15"/>
      <c r="AI15"/>
      <c r="AJ15"/>
      <c r="AK15"/>
    </row>
    <row r="16" spans="1:37" x14ac:dyDescent="0.3">
      <c r="A16" s="660" t="s">
        <v>155</v>
      </c>
      <c r="B16" s="660"/>
      <c r="C16" s="660"/>
      <c r="D16" s="661" t="s">
        <v>408</v>
      </c>
      <c r="E16" s="661"/>
      <c r="F16" s="661"/>
      <c r="G16" s="661"/>
      <c r="H16" s="661"/>
      <c r="I16" s="661"/>
      <c r="J16" s="661"/>
      <c r="K16" s="661"/>
      <c r="L16" s="661"/>
      <c r="M16" s="661"/>
      <c r="N16" s="661"/>
      <c r="O16" s="22"/>
      <c r="P16" s="22"/>
      <c r="X16" s="26"/>
      <c r="AA16" s="27"/>
      <c r="AB16" s="3"/>
      <c r="AC16" s="3"/>
      <c r="AD16" s="11"/>
      <c r="AE16" s="11"/>
      <c r="AH16" s="3"/>
      <c r="AI16" s="3"/>
      <c r="AJ16" s="25"/>
      <c r="AK16" s="25"/>
    </row>
    <row r="17" spans="1:39" x14ac:dyDescent="0.3">
      <c r="A17" s="655" t="s">
        <v>44</v>
      </c>
      <c r="B17" s="656" t="s">
        <v>151</v>
      </c>
      <c r="C17" s="338" t="s">
        <v>103</v>
      </c>
      <c r="D17" s="342" t="s">
        <v>68</v>
      </c>
      <c r="E17" s="343" t="s">
        <v>69</v>
      </c>
      <c r="F17" s="342" t="s">
        <v>70</v>
      </c>
      <c r="G17" s="342" t="s">
        <v>71</v>
      </c>
      <c r="H17" s="342" t="s">
        <v>72</v>
      </c>
      <c r="I17" s="366" t="s">
        <v>73</v>
      </c>
      <c r="J17" s="342" t="s">
        <v>74</v>
      </c>
      <c r="K17" s="342" t="s">
        <v>75</v>
      </c>
      <c r="L17" s="366" t="s">
        <v>76</v>
      </c>
      <c r="M17" s="366" t="s">
        <v>77</v>
      </c>
      <c r="N17" s="342" t="s">
        <v>78</v>
      </c>
      <c r="Y17" s="27"/>
      <c r="Z17" s="3"/>
      <c r="AA17" s="3"/>
      <c r="AB17" s="11"/>
      <c r="AC17" s="11"/>
      <c r="AD17" s="11"/>
      <c r="AE17" s="11"/>
      <c r="AF17" s="3"/>
      <c r="AG17" s="3"/>
      <c r="AH17" s="25"/>
      <c r="AI17" s="25"/>
      <c r="AJ17"/>
      <c r="AK17"/>
    </row>
    <row r="18" spans="1:39" x14ac:dyDescent="0.3">
      <c r="A18" s="655"/>
      <c r="B18" s="657"/>
      <c r="C18" s="342" t="s">
        <v>80</v>
      </c>
      <c r="D18" s="342" t="s">
        <v>81</v>
      </c>
      <c r="E18" s="342" t="s">
        <v>82</v>
      </c>
      <c r="F18" s="342" t="s">
        <v>83</v>
      </c>
      <c r="G18" s="342" t="s">
        <v>84</v>
      </c>
      <c r="H18" s="342" t="s">
        <v>85</v>
      </c>
      <c r="I18" s="342" t="s">
        <v>86</v>
      </c>
      <c r="J18" s="342" t="s">
        <v>87</v>
      </c>
      <c r="K18" s="342" t="s">
        <v>88</v>
      </c>
      <c r="L18" s="342" t="s">
        <v>89</v>
      </c>
      <c r="M18" s="342" t="s">
        <v>90</v>
      </c>
      <c r="N18" s="342" t="s">
        <v>91</v>
      </c>
      <c r="O18" s="367" t="s">
        <v>410</v>
      </c>
      <c r="Y18" s="27"/>
      <c r="Z18" s="3"/>
      <c r="AA18" s="3"/>
      <c r="AB18" s="11"/>
      <c r="AC18" s="11"/>
      <c r="AD18" s="11"/>
      <c r="AE18" s="11"/>
      <c r="AF18" s="3"/>
      <c r="AG18" s="3"/>
      <c r="AH18" s="25"/>
      <c r="AI18" s="25"/>
      <c r="AJ18"/>
      <c r="AK18"/>
    </row>
    <row r="19" spans="1:39" x14ac:dyDescent="0.3">
      <c r="A19" s="140" t="str">
        <f>IF($A$11="","",(A11))</f>
        <v/>
      </c>
      <c r="B19" s="39">
        <v>1</v>
      </c>
      <c r="C19" s="116"/>
      <c r="D19" s="116"/>
      <c r="E19" s="116"/>
      <c r="F19" s="116"/>
      <c r="G19" s="116"/>
      <c r="H19" s="116"/>
      <c r="I19" s="116"/>
      <c r="J19" s="116"/>
      <c r="K19" s="116"/>
      <c r="L19" s="116"/>
      <c r="M19" s="116"/>
      <c r="N19" s="116"/>
      <c r="X19" s="26"/>
      <c r="Y19" s="26"/>
      <c r="AB19" s="27"/>
      <c r="AC19" s="3"/>
      <c r="AE19" s="11"/>
      <c r="AI19" s="3"/>
      <c r="AK19" s="25"/>
      <c r="AL19" s="25"/>
    </row>
    <row r="20" spans="1:39" x14ac:dyDescent="0.3">
      <c r="A20" s="140" t="str">
        <f>IF($A$12="","",(A12))</f>
        <v/>
      </c>
      <c r="B20" s="39">
        <v>2</v>
      </c>
      <c r="C20" s="116"/>
      <c r="D20" s="116"/>
      <c r="E20" s="116"/>
      <c r="F20" s="116"/>
      <c r="G20" s="116"/>
      <c r="H20" s="116"/>
      <c r="I20" s="116"/>
      <c r="J20" s="116"/>
      <c r="K20" s="116"/>
      <c r="L20" s="116"/>
      <c r="M20" s="116"/>
      <c r="N20" s="116"/>
      <c r="X20" s="26"/>
      <c r="Y20" s="26"/>
      <c r="AB20" s="27"/>
      <c r="AC20" s="3"/>
      <c r="AE20" s="11"/>
      <c r="AI20" s="3"/>
      <c r="AK20" s="25"/>
      <c r="AL20" s="25"/>
    </row>
    <row r="21" spans="1:39" x14ac:dyDescent="0.3">
      <c r="A21" s="140" t="str">
        <f>IF($A$13="","",(A13))</f>
        <v/>
      </c>
      <c r="B21" s="39">
        <v>3</v>
      </c>
      <c r="C21" s="116"/>
      <c r="D21" s="116"/>
      <c r="E21" s="116"/>
      <c r="F21" s="116"/>
      <c r="G21" s="116"/>
      <c r="H21" s="116"/>
      <c r="I21" s="116"/>
      <c r="J21" s="116"/>
      <c r="K21" s="116"/>
      <c r="L21" s="116"/>
      <c r="M21" s="116"/>
      <c r="N21" s="116"/>
      <c r="O21" s="2"/>
      <c r="P21" s="2"/>
      <c r="X21" s="26"/>
      <c r="Y21" s="26"/>
      <c r="AB21" s="27"/>
      <c r="AC21" s="3"/>
      <c r="AE21" s="11"/>
      <c r="AI21" s="3"/>
      <c r="AK21" s="25"/>
      <c r="AL21" s="25"/>
    </row>
    <row r="22" spans="1:39" x14ac:dyDescent="0.3">
      <c r="A22" s="140" t="str">
        <f>IF($A$14="","",(A14))</f>
        <v/>
      </c>
      <c r="B22" s="39">
        <v>4</v>
      </c>
      <c r="C22" s="116"/>
      <c r="D22" s="10"/>
      <c r="E22" s="10"/>
      <c r="F22" s="10"/>
      <c r="G22" s="10"/>
      <c r="H22" s="10"/>
      <c r="I22" s="55"/>
      <c r="J22" s="10"/>
      <c r="K22" s="10"/>
      <c r="L22" s="55"/>
      <c r="M22" s="55"/>
      <c r="N22" s="10"/>
      <c r="O22" s="2"/>
      <c r="P22" s="2"/>
      <c r="X22" s="26"/>
      <c r="Y22" s="26"/>
      <c r="AB22" s="27"/>
      <c r="AC22" s="3"/>
      <c r="AE22" s="11"/>
      <c r="AI22" s="3"/>
      <c r="AK22" s="25"/>
      <c r="AL22" s="25"/>
    </row>
    <row r="23" spans="1:39" x14ac:dyDescent="0.3">
      <c r="A23" s="6"/>
      <c r="B23" s="6"/>
      <c r="C23" s="28"/>
      <c r="D23" s="36"/>
      <c r="E23" s="30"/>
      <c r="F23" s="30"/>
      <c r="G23" s="93"/>
      <c r="H23" s="30"/>
      <c r="I23" s="30"/>
      <c r="J23" s="28"/>
      <c r="K23" s="3"/>
      <c r="L23" s="11"/>
      <c r="M23" s="11"/>
      <c r="N23" s="3"/>
      <c r="O23" s="22"/>
      <c r="P23" s="22"/>
      <c r="Q23" s="22"/>
      <c r="R23" s="22"/>
      <c r="S23" s="3"/>
      <c r="T23" s="22"/>
      <c r="U23" s="22"/>
      <c r="V23" s="22"/>
      <c r="W23" s="124"/>
      <c r="X23" s="33"/>
      <c r="Y23" s="33"/>
      <c r="Z23" s="4"/>
      <c r="AA23" s="4"/>
      <c r="AB23" s="1"/>
      <c r="AC23" s="1"/>
      <c r="AD23"/>
      <c r="AE23"/>
      <c r="AF23"/>
      <c r="AG23"/>
      <c r="AH23"/>
      <c r="AI23"/>
      <c r="AJ23"/>
      <c r="AK23"/>
    </row>
    <row r="24" spans="1:39" x14ac:dyDescent="0.3">
      <c r="A24" s="660" t="s">
        <v>794</v>
      </c>
      <c r="B24" s="660"/>
      <c r="C24" s="559"/>
      <c r="D24" s="4"/>
      <c r="E24" s="4"/>
      <c r="F24" s="4"/>
      <c r="G24" s="4"/>
      <c r="H24" s="4"/>
      <c r="I24" s="4"/>
      <c r="J24" s="4"/>
      <c r="K24" s="4"/>
      <c r="L24" s="33"/>
      <c r="M24" s="72"/>
      <c r="N24" s="28"/>
      <c r="O24" s="124"/>
      <c r="P24" s="124"/>
      <c r="Q24" s="124"/>
      <c r="R24" s="124"/>
      <c r="S24" s="28"/>
      <c r="T24" s="124"/>
      <c r="U24" s="124"/>
      <c r="X24" s="28"/>
      <c r="Y24" s="28"/>
      <c r="Z24" s="28"/>
      <c r="AA24" s="28"/>
      <c r="AB24" s="28"/>
      <c r="AC24" s="32"/>
      <c r="AD24" s="4"/>
      <c r="AE24" s="4"/>
      <c r="AF24" s="33"/>
      <c r="AG24" s="33"/>
      <c r="AH24" s="33"/>
      <c r="AI24" s="33"/>
      <c r="AJ24" s="4"/>
      <c r="AK24" s="4"/>
      <c r="AL24" s="1"/>
      <c r="AM24" s="1"/>
    </row>
    <row r="25" spans="1:39" ht="16.5" customHeight="1" x14ac:dyDescent="0.3">
      <c r="A25" s="3"/>
      <c r="C25" s="119" t="s">
        <v>826</v>
      </c>
      <c r="D25" s="252"/>
      <c r="E25" s="279"/>
      <c r="F25" s="251" t="s">
        <v>825</v>
      </c>
      <c r="G25" s="87"/>
      <c r="H25" s="95"/>
      <c r="I25" s="251" t="s">
        <v>802</v>
      </c>
      <c r="J25" s="87"/>
      <c r="K25" s="4"/>
      <c r="L25" s="33"/>
      <c r="M25" s="72"/>
      <c r="N25" s="270"/>
      <c r="O25" s="119" t="s">
        <v>803</v>
      </c>
      <c r="P25" s="271"/>
      <c r="R25" s="35"/>
      <c r="S25" s="243" t="s">
        <v>827</v>
      </c>
      <c r="T25" s="259"/>
      <c r="U25" s="255"/>
      <c r="X25" s="30"/>
      <c r="Y25" s="30"/>
      <c r="Z25" s="30"/>
      <c r="AA25"/>
      <c r="AB25"/>
      <c r="AC25"/>
      <c r="AD25"/>
      <c r="AE25"/>
      <c r="AF25"/>
      <c r="AG25"/>
      <c r="AH25"/>
      <c r="AI25"/>
      <c r="AJ25"/>
      <c r="AK25"/>
    </row>
    <row r="26" spans="1:39" ht="34.5" x14ac:dyDescent="0.3">
      <c r="A26" s="266" t="s">
        <v>135</v>
      </c>
      <c r="B26" s="335" t="s">
        <v>143</v>
      </c>
      <c r="C26" s="272" t="s">
        <v>412</v>
      </c>
      <c r="D26" s="274" t="s">
        <v>1031</v>
      </c>
      <c r="E26" s="275" t="s">
        <v>157</v>
      </c>
      <c r="F26" s="269" t="s">
        <v>1029</v>
      </c>
      <c r="G26" s="269" t="s">
        <v>1030</v>
      </c>
      <c r="H26" s="269" t="s">
        <v>413</v>
      </c>
      <c r="I26" s="272" t="s">
        <v>414</v>
      </c>
      <c r="J26" s="269" t="s">
        <v>415</v>
      </c>
      <c r="K26" s="269" t="s">
        <v>795</v>
      </c>
      <c r="L26" s="269" t="s">
        <v>153</v>
      </c>
      <c r="M26" s="269" t="s">
        <v>416</v>
      </c>
      <c r="N26" s="269" t="s">
        <v>796</v>
      </c>
      <c r="O26" s="269" t="s">
        <v>159</v>
      </c>
      <c r="P26" s="269" t="s">
        <v>160</v>
      </c>
      <c r="Q26" s="257" t="s">
        <v>824</v>
      </c>
      <c r="R26" s="269" t="s">
        <v>137</v>
      </c>
      <c r="S26" s="269" t="s">
        <v>138</v>
      </c>
      <c r="T26" s="269" t="s">
        <v>161</v>
      </c>
      <c r="U26" s="269" t="s">
        <v>162</v>
      </c>
      <c r="X26"/>
      <c r="Y26"/>
      <c r="Z26"/>
      <c r="AA26"/>
      <c r="AB26"/>
      <c r="AC26"/>
      <c r="AD26"/>
      <c r="AE26"/>
      <c r="AF26"/>
      <c r="AG26"/>
      <c r="AH26"/>
      <c r="AI26"/>
      <c r="AJ26"/>
      <c r="AK26"/>
    </row>
    <row r="27" spans="1:39" x14ac:dyDescent="0.3">
      <c r="A27" s="263">
        <f>1</f>
        <v>1</v>
      </c>
      <c r="B27" s="38"/>
      <c r="C27" s="38"/>
      <c r="D27" s="276"/>
      <c r="E27" s="277"/>
      <c r="F27" s="38"/>
      <c r="G27" s="38"/>
      <c r="H27" s="261">
        <f t="shared" ref="H27" si="0">D27*0.5</f>
        <v>0</v>
      </c>
      <c r="I27" s="260">
        <f t="shared" ref="I27:I36" si="1">(PI()*(H27*H27)*C27)/1000</f>
        <v>0</v>
      </c>
      <c r="J27" s="260">
        <f t="shared" ref="J27:J36" si="2">((PI()*(F27*0.5)*(G27*0.5)*E27)/3)/1000</f>
        <v>0</v>
      </c>
      <c r="K27" s="260">
        <f t="shared" ref="K27:K36" si="3">I27+J27</f>
        <v>0</v>
      </c>
      <c r="L27" s="261">
        <f t="shared" ref="L27:L36" si="4">IF(B27=1,$G$11,IF(B27=2,$G$12,IF(B27=3,$G$13,IF(B27=4,$G$14,))))</f>
        <v>0</v>
      </c>
      <c r="M27" s="262">
        <f t="shared" ref="M27:M36" si="5">IF(B27=1,$D$11,IF(B27=2,$D$12,IF(B27=3,$D$13,IF(B27=4,$D$14,))))</f>
        <v>0</v>
      </c>
      <c r="N27" s="262">
        <f t="shared" ref="N27" si="6">(K27*M27)*L27</f>
        <v>0</v>
      </c>
      <c r="O27" s="262" t="e">
        <f t="shared" ref="O27:O36" si="7">N27*(1/$B$6)</f>
        <v>#DIV/0!</v>
      </c>
      <c r="P27" s="262" t="e">
        <f t="shared" ref="P27" si="8">O27/1000</f>
        <v>#DIV/0!</v>
      </c>
      <c r="Q27" s="258"/>
      <c r="R27" s="262" t="str">
        <f t="shared" ref="R27:R36" si="9">IF(B27=1, P27,"")</f>
        <v/>
      </c>
      <c r="S27" s="262" t="str">
        <f t="shared" ref="S27:S36" si="10">IF(B27=2, P27,"")</f>
        <v/>
      </c>
      <c r="T27" s="262" t="str">
        <f t="shared" ref="T27:T36" si="11">IF(B27=3, P27,"")</f>
        <v/>
      </c>
      <c r="U27" s="264" t="str">
        <f t="shared" ref="U27:U36" si="12">IF(B27=4, P27,"")</f>
        <v/>
      </c>
      <c r="X27"/>
      <c r="Z27" s="27"/>
      <c r="AA27" s="3"/>
      <c r="AB27" s="3"/>
      <c r="AC27" s="11"/>
      <c r="AD27" s="11"/>
      <c r="AE27" s="11"/>
      <c r="AG27" s="3"/>
      <c r="AH27" s="3"/>
      <c r="AI27"/>
      <c r="AJ27"/>
      <c r="AK27"/>
    </row>
    <row r="28" spans="1:39" x14ac:dyDescent="0.3">
      <c r="A28" s="263">
        <f>1</f>
        <v>1</v>
      </c>
      <c r="B28" s="38"/>
      <c r="C28" s="38"/>
      <c r="D28" s="38"/>
      <c r="E28" s="277"/>
      <c r="F28" s="38"/>
      <c r="G28" s="38"/>
      <c r="H28" s="261">
        <f t="shared" ref="H28:H36" si="13">D28*0.5</f>
        <v>0</v>
      </c>
      <c r="I28" s="260">
        <f t="shared" si="1"/>
        <v>0</v>
      </c>
      <c r="J28" s="260">
        <f t="shared" si="2"/>
        <v>0</v>
      </c>
      <c r="K28" s="260">
        <f t="shared" si="3"/>
        <v>0</v>
      </c>
      <c r="L28" s="261">
        <f t="shared" si="4"/>
        <v>0</v>
      </c>
      <c r="M28" s="262">
        <f t="shared" si="5"/>
        <v>0</v>
      </c>
      <c r="N28" s="262">
        <f t="shared" ref="N28:N36" si="14">(K28*M28)*L28</f>
        <v>0</v>
      </c>
      <c r="O28" s="262" t="e">
        <f t="shared" si="7"/>
        <v>#DIV/0!</v>
      </c>
      <c r="P28" s="262" t="e">
        <f t="shared" ref="P28:P36" si="15">O28/1000</f>
        <v>#DIV/0!</v>
      </c>
      <c r="Q28" s="258"/>
      <c r="R28" s="262" t="str">
        <f t="shared" si="9"/>
        <v/>
      </c>
      <c r="S28" s="262" t="str">
        <f t="shared" si="10"/>
        <v/>
      </c>
      <c r="T28" s="262" t="str">
        <f t="shared" si="11"/>
        <v/>
      </c>
      <c r="U28" s="264" t="str">
        <f t="shared" si="12"/>
        <v/>
      </c>
      <c r="X28" s="51"/>
      <c r="Y28" s="51"/>
      <c r="Z28" s="51"/>
      <c r="AL28" s="25"/>
      <c r="AM28" s="25"/>
    </row>
    <row r="29" spans="1:39" x14ac:dyDescent="0.3">
      <c r="A29" s="263">
        <f>1</f>
        <v>1</v>
      </c>
      <c r="B29" s="38"/>
      <c r="C29" s="38"/>
      <c r="D29" s="38"/>
      <c r="E29" s="277"/>
      <c r="F29" s="38"/>
      <c r="G29" s="38"/>
      <c r="H29" s="261">
        <f t="shared" si="13"/>
        <v>0</v>
      </c>
      <c r="I29" s="260">
        <f t="shared" si="1"/>
        <v>0</v>
      </c>
      <c r="J29" s="260">
        <f t="shared" si="2"/>
        <v>0</v>
      </c>
      <c r="K29" s="260">
        <f t="shared" si="3"/>
        <v>0</v>
      </c>
      <c r="L29" s="261">
        <f t="shared" si="4"/>
        <v>0</v>
      </c>
      <c r="M29" s="262">
        <f t="shared" si="5"/>
        <v>0</v>
      </c>
      <c r="N29" s="262">
        <f t="shared" si="14"/>
        <v>0</v>
      </c>
      <c r="O29" s="262" t="e">
        <f t="shared" si="7"/>
        <v>#DIV/0!</v>
      </c>
      <c r="P29" s="262" t="e">
        <f t="shared" si="15"/>
        <v>#DIV/0!</v>
      </c>
      <c r="Q29" s="258"/>
      <c r="R29" s="262" t="str">
        <f t="shared" si="9"/>
        <v/>
      </c>
      <c r="S29" s="262" t="str">
        <f t="shared" si="10"/>
        <v/>
      </c>
      <c r="T29" s="262" t="str">
        <f t="shared" si="11"/>
        <v/>
      </c>
      <c r="U29" s="264" t="str">
        <f t="shared" si="12"/>
        <v/>
      </c>
      <c r="X29" s="51"/>
      <c r="Y29" s="51"/>
      <c r="Z29" s="51"/>
      <c r="AL29" s="25"/>
      <c r="AM29" s="25"/>
    </row>
    <row r="30" spans="1:39" ht="14.45" customHeight="1" x14ac:dyDescent="0.3">
      <c r="A30" s="263">
        <f>1</f>
        <v>1</v>
      </c>
      <c r="B30" s="38"/>
      <c r="C30" s="38"/>
      <c r="D30" s="38"/>
      <c r="E30" s="277"/>
      <c r="F30" s="38"/>
      <c r="G30" s="38"/>
      <c r="H30" s="261">
        <f t="shared" si="13"/>
        <v>0</v>
      </c>
      <c r="I30" s="260">
        <f t="shared" si="1"/>
        <v>0</v>
      </c>
      <c r="J30" s="260">
        <f t="shared" si="2"/>
        <v>0</v>
      </c>
      <c r="K30" s="260">
        <f t="shared" si="3"/>
        <v>0</v>
      </c>
      <c r="L30" s="261">
        <f t="shared" si="4"/>
        <v>0</v>
      </c>
      <c r="M30" s="262">
        <f t="shared" si="5"/>
        <v>0</v>
      </c>
      <c r="N30" s="262">
        <f t="shared" si="14"/>
        <v>0</v>
      </c>
      <c r="O30" s="262" t="e">
        <f t="shared" si="7"/>
        <v>#DIV/0!</v>
      </c>
      <c r="P30" s="262" t="e">
        <f t="shared" si="15"/>
        <v>#DIV/0!</v>
      </c>
      <c r="Q30" s="258"/>
      <c r="R30" s="262" t="str">
        <f t="shared" si="9"/>
        <v/>
      </c>
      <c r="S30" s="262" t="str">
        <f t="shared" si="10"/>
        <v/>
      </c>
      <c r="T30" s="262" t="str">
        <f t="shared" si="11"/>
        <v/>
      </c>
      <c r="U30" s="264" t="str">
        <f t="shared" si="12"/>
        <v/>
      </c>
      <c r="X30" s="30"/>
      <c r="Y30" s="30"/>
      <c r="Z30" s="30"/>
      <c r="AA30"/>
      <c r="AB30"/>
      <c r="AC30"/>
      <c r="AD30"/>
      <c r="AE30"/>
      <c r="AF30"/>
      <c r="AG30"/>
      <c r="AH30"/>
      <c r="AI30"/>
      <c r="AJ30"/>
      <c r="AK30"/>
    </row>
    <row r="31" spans="1:39" x14ac:dyDescent="0.3">
      <c r="A31" s="263">
        <f>1</f>
        <v>1</v>
      </c>
      <c r="B31" s="38"/>
      <c r="C31" s="38"/>
      <c r="D31" s="38"/>
      <c r="E31" s="277"/>
      <c r="F31" s="38"/>
      <c r="G31" s="38"/>
      <c r="H31" s="261">
        <f t="shared" si="13"/>
        <v>0</v>
      </c>
      <c r="I31" s="260">
        <f t="shared" si="1"/>
        <v>0</v>
      </c>
      <c r="J31" s="260">
        <f t="shared" si="2"/>
        <v>0</v>
      </c>
      <c r="K31" s="260">
        <f t="shared" si="3"/>
        <v>0</v>
      </c>
      <c r="L31" s="261">
        <f t="shared" si="4"/>
        <v>0</v>
      </c>
      <c r="M31" s="262">
        <f t="shared" si="5"/>
        <v>0</v>
      </c>
      <c r="N31" s="262">
        <f t="shared" si="14"/>
        <v>0</v>
      </c>
      <c r="O31" s="262" t="e">
        <f t="shared" si="7"/>
        <v>#DIV/0!</v>
      </c>
      <c r="P31" s="262" t="e">
        <f t="shared" si="15"/>
        <v>#DIV/0!</v>
      </c>
      <c r="Q31" s="258"/>
      <c r="R31" s="262" t="str">
        <f t="shared" si="9"/>
        <v/>
      </c>
      <c r="S31" s="262" t="str">
        <f t="shared" si="10"/>
        <v/>
      </c>
      <c r="T31" s="262" t="str">
        <f t="shared" si="11"/>
        <v/>
      </c>
      <c r="U31" s="264" t="str">
        <f t="shared" si="12"/>
        <v/>
      </c>
      <c r="X31"/>
      <c r="Z31" s="27"/>
      <c r="AA31" s="3"/>
      <c r="AB31" s="3"/>
      <c r="AC31" s="11"/>
      <c r="AD31" s="11"/>
      <c r="AE31" s="11"/>
      <c r="AG31" s="3"/>
      <c r="AH31" s="3"/>
      <c r="AI31"/>
      <c r="AJ31"/>
      <c r="AK31"/>
    </row>
    <row r="32" spans="1:39" x14ac:dyDescent="0.3">
      <c r="A32" s="263">
        <f>1</f>
        <v>1</v>
      </c>
      <c r="B32" s="38"/>
      <c r="C32" s="38"/>
      <c r="D32" s="38"/>
      <c r="E32" s="277"/>
      <c r="F32" s="38"/>
      <c r="G32" s="38"/>
      <c r="H32" s="261">
        <f t="shared" si="13"/>
        <v>0</v>
      </c>
      <c r="I32" s="260">
        <f t="shared" si="1"/>
        <v>0</v>
      </c>
      <c r="J32" s="260">
        <f t="shared" si="2"/>
        <v>0</v>
      </c>
      <c r="K32" s="260">
        <f t="shared" si="3"/>
        <v>0</v>
      </c>
      <c r="L32" s="261">
        <f t="shared" si="4"/>
        <v>0</v>
      </c>
      <c r="M32" s="262">
        <f t="shared" si="5"/>
        <v>0</v>
      </c>
      <c r="N32" s="262">
        <f t="shared" si="14"/>
        <v>0</v>
      </c>
      <c r="O32" s="262" t="e">
        <f t="shared" si="7"/>
        <v>#DIV/0!</v>
      </c>
      <c r="P32" s="262" t="e">
        <f t="shared" si="15"/>
        <v>#DIV/0!</v>
      </c>
      <c r="Q32" s="258"/>
      <c r="R32" s="262" t="str">
        <f t="shared" si="9"/>
        <v/>
      </c>
      <c r="S32" s="262" t="str">
        <f t="shared" si="10"/>
        <v/>
      </c>
      <c r="T32" s="262" t="str">
        <f t="shared" si="11"/>
        <v/>
      </c>
      <c r="U32" s="264" t="str">
        <f t="shared" si="12"/>
        <v/>
      </c>
      <c r="X32" s="26"/>
      <c r="AA32"/>
      <c r="AB32"/>
      <c r="AC32"/>
      <c r="AD32"/>
      <c r="AE32"/>
      <c r="AF32"/>
      <c r="AG32"/>
      <c r="AH32"/>
      <c r="AI32"/>
      <c r="AJ32"/>
      <c r="AK32"/>
    </row>
    <row r="33" spans="1:39" x14ac:dyDescent="0.3">
      <c r="A33" s="263">
        <f>1</f>
        <v>1</v>
      </c>
      <c r="B33" s="38"/>
      <c r="C33" s="38"/>
      <c r="D33" s="38"/>
      <c r="E33" s="277"/>
      <c r="F33" s="38"/>
      <c r="G33" s="38"/>
      <c r="H33" s="261">
        <f t="shared" si="13"/>
        <v>0</v>
      </c>
      <c r="I33" s="260">
        <f t="shared" si="1"/>
        <v>0</v>
      </c>
      <c r="J33" s="260">
        <f t="shared" si="2"/>
        <v>0</v>
      </c>
      <c r="K33" s="260">
        <f t="shared" si="3"/>
        <v>0</v>
      </c>
      <c r="L33" s="261">
        <f t="shared" si="4"/>
        <v>0</v>
      </c>
      <c r="M33" s="262">
        <f t="shared" si="5"/>
        <v>0</v>
      </c>
      <c r="N33" s="262">
        <f t="shared" si="14"/>
        <v>0</v>
      </c>
      <c r="O33" s="262" t="e">
        <f t="shared" si="7"/>
        <v>#DIV/0!</v>
      </c>
      <c r="P33" s="262" t="e">
        <f t="shared" si="15"/>
        <v>#DIV/0!</v>
      </c>
      <c r="Q33" s="258"/>
      <c r="R33" s="262" t="str">
        <f t="shared" si="9"/>
        <v/>
      </c>
      <c r="S33" s="262" t="str">
        <f t="shared" si="10"/>
        <v/>
      </c>
      <c r="T33" s="262" t="str">
        <f t="shared" si="11"/>
        <v/>
      </c>
      <c r="U33" s="264" t="str">
        <f t="shared" si="12"/>
        <v/>
      </c>
      <c r="X33" s="26"/>
      <c r="AA33"/>
      <c r="AB33"/>
      <c r="AC33"/>
      <c r="AD33"/>
      <c r="AE33"/>
      <c r="AF33"/>
      <c r="AG33"/>
      <c r="AH33"/>
      <c r="AI33"/>
      <c r="AJ33"/>
      <c r="AK33"/>
    </row>
    <row r="34" spans="1:39" x14ac:dyDescent="0.3">
      <c r="A34" s="263">
        <f>1</f>
        <v>1</v>
      </c>
      <c r="B34" s="38"/>
      <c r="C34" s="38"/>
      <c r="D34" s="38"/>
      <c r="E34" s="277"/>
      <c r="F34" s="38"/>
      <c r="G34" s="38"/>
      <c r="H34" s="261">
        <f t="shared" si="13"/>
        <v>0</v>
      </c>
      <c r="I34" s="260">
        <f t="shared" si="1"/>
        <v>0</v>
      </c>
      <c r="J34" s="260">
        <f t="shared" si="2"/>
        <v>0</v>
      </c>
      <c r="K34" s="260">
        <f t="shared" si="3"/>
        <v>0</v>
      </c>
      <c r="L34" s="261">
        <f t="shared" si="4"/>
        <v>0</v>
      </c>
      <c r="M34" s="262">
        <f t="shared" si="5"/>
        <v>0</v>
      </c>
      <c r="N34" s="262">
        <f t="shared" si="14"/>
        <v>0</v>
      </c>
      <c r="O34" s="262" t="e">
        <f t="shared" si="7"/>
        <v>#DIV/0!</v>
      </c>
      <c r="P34" s="262" t="e">
        <f t="shared" si="15"/>
        <v>#DIV/0!</v>
      </c>
      <c r="Q34" s="258"/>
      <c r="R34" s="262" t="str">
        <f t="shared" si="9"/>
        <v/>
      </c>
      <c r="S34" s="262" t="str">
        <f t="shared" si="10"/>
        <v/>
      </c>
      <c r="T34" s="262" t="str">
        <f t="shared" si="11"/>
        <v/>
      </c>
      <c r="U34" s="264" t="str">
        <f t="shared" si="12"/>
        <v/>
      </c>
      <c r="X34" s="26"/>
      <c r="AA34"/>
      <c r="AB34"/>
      <c r="AC34"/>
      <c r="AD34"/>
      <c r="AE34"/>
      <c r="AF34"/>
      <c r="AG34"/>
      <c r="AH34"/>
      <c r="AI34"/>
      <c r="AJ34"/>
      <c r="AK34"/>
    </row>
    <row r="35" spans="1:39" x14ac:dyDescent="0.3">
      <c r="A35" s="263">
        <f>1</f>
        <v>1</v>
      </c>
      <c r="B35" s="38"/>
      <c r="C35" s="38"/>
      <c r="D35" s="38"/>
      <c r="E35" s="277"/>
      <c r="F35" s="38"/>
      <c r="G35" s="38"/>
      <c r="H35" s="261">
        <f t="shared" si="13"/>
        <v>0</v>
      </c>
      <c r="I35" s="260">
        <f t="shared" si="1"/>
        <v>0</v>
      </c>
      <c r="J35" s="260">
        <f t="shared" si="2"/>
        <v>0</v>
      </c>
      <c r="K35" s="260">
        <f t="shared" si="3"/>
        <v>0</v>
      </c>
      <c r="L35" s="261">
        <f t="shared" si="4"/>
        <v>0</v>
      </c>
      <c r="M35" s="262">
        <f t="shared" si="5"/>
        <v>0</v>
      </c>
      <c r="N35" s="262">
        <f t="shared" si="14"/>
        <v>0</v>
      </c>
      <c r="O35" s="262" t="e">
        <f t="shared" si="7"/>
        <v>#DIV/0!</v>
      </c>
      <c r="P35" s="262" t="e">
        <f t="shared" si="15"/>
        <v>#DIV/0!</v>
      </c>
      <c r="Q35" s="258"/>
      <c r="R35" s="262" t="str">
        <f t="shared" si="9"/>
        <v/>
      </c>
      <c r="S35" s="262" t="str">
        <f t="shared" si="10"/>
        <v/>
      </c>
      <c r="T35" s="262" t="str">
        <f t="shared" si="11"/>
        <v/>
      </c>
      <c r="U35" s="264" t="str">
        <f t="shared" si="12"/>
        <v/>
      </c>
      <c r="AL35" s="25"/>
      <c r="AM35" s="25"/>
    </row>
    <row r="36" spans="1:39" x14ac:dyDescent="0.3">
      <c r="A36" s="263">
        <f>1</f>
        <v>1</v>
      </c>
      <c r="B36" s="38"/>
      <c r="C36" s="38"/>
      <c r="D36" s="38"/>
      <c r="E36" s="277"/>
      <c r="F36" s="38"/>
      <c r="G36" s="38"/>
      <c r="H36" s="261">
        <f t="shared" si="13"/>
        <v>0</v>
      </c>
      <c r="I36" s="260">
        <f t="shared" si="1"/>
        <v>0</v>
      </c>
      <c r="J36" s="260">
        <f t="shared" si="2"/>
        <v>0</v>
      </c>
      <c r="K36" s="260">
        <f t="shared" si="3"/>
        <v>0</v>
      </c>
      <c r="L36" s="261">
        <f t="shared" si="4"/>
        <v>0</v>
      </c>
      <c r="M36" s="262">
        <f t="shared" si="5"/>
        <v>0</v>
      </c>
      <c r="N36" s="262">
        <f t="shared" si="14"/>
        <v>0</v>
      </c>
      <c r="O36" s="262" t="e">
        <f t="shared" si="7"/>
        <v>#DIV/0!</v>
      </c>
      <c r="P36" s="262" t="e">
        <f t="shared" si="15"/>
        <v>#DIV/0!</v>
      </c>
      <c r="Q36" s="258"/>
      <c r="R36" s="262" t="str">
        <f t="shared" si="9"/>
        <v/>
      </c>
      <c r="S36" s="262" t="str">
        <f t="shared" si="10"/>
        <v/>
      </c>
      <c r="T36" s="262" t="str">
        <f t="shared" si="11"/>
        <v/>
      </c>
      <c r="U36" s="264" t="str">
        <f t="shared" si="12"/>
        <v/>
      </c>
      <c r="AL36" s="25"/>
      <c r="AM36" s="25"/>
    </row>
    <row r="37" spans="1:39" x14ac:dyDescent="0.3">
      <c r="B37" s="4" t="s">
        <v>139</v>
      </c>
      <c r="C37" s="253">
        <f>COUNT(B27:B36)</f>
        <v>0</v>
      </c>
      <c r="D37" s="4"/>
      <c r="F37" s="28"/>
      <c r="G37" s="28"/>
      <c r="H37" s="28"/>
      <c r="I37" s="72"/>
      <c r="J37" s="28"/>
      <c r="K37" s="28"/>
      <c r="L37" s="72"/>
      <c r="O37" s="254" t="e">
        <f>SUM(O27:O36)</f>
        <v>#DIV/0!</v>
      </c>
      <c r="P37" s="254" t="e">
        <f>SUM(P27:P36)</f>
        <v>#DIV/0!</v>
      </c>
      <c r="R37" s="254">
        <f>SUM(R27:R36)</f>
        <v>0</v>
      </c>
      <c r="S37" s="256">
        <f>SUM(S27:S36)</f>
        <v>0</v>
      </c>
      <c r="T37" s="256">
        <f>SUM(T27:T36)</f>
        <v>0</v>
      </c>
      <c r="U37" s="256">
        <f>SUM(U27:U36)</f>
        <v>0</v>
      </c>
      <c r="AL37" s="25"/>
      <c r="AM37" s="25"/>
    </row>
    <row r="38" spans="1:39" x14ac:dyDescent="0.3">
      <c r="T38" s="128"/>
      <c r="U38" s="128"/>
      <c r="AL38" s="25"/>
      <c r="AM38" s="25"/>
    </row>
    <row r="39" spans="1:39" x14ac:dyDescent="0.3">
      <c r="E39" s="3"/>
      <c r="F39" s="3"/>
      <c r="T39" s="128"/>
      <c r="U39" s="128"/>
      <c r="AL39" s="25"/>
      <c r="AM39" s="25"/>
    </row>
    <row r="40" spans="1:39" x14ac:dyDescent="0.3">
      <c r="T40" s="128"/>
      <c r="U40" s="128"/>
      <c r="AL40" s="25"/>
      <c r="AM40" s="25"/>
    </row>
    <row r="41" spans="1:39" x14ac:dyDescent="0.3">
      <c r="T41" s="128"/>
      <c r="U41" s="128"/>
      <c r="AL41" s="25"/>
      <c r="AM41" s="25"/>
    </row>
    <row r="42" spans="1:39" x14ac:dyDescent="0.3">
      <c r="A42" s="3"/>
      <c r="C42" s="119" t="s">
        <v>826</v>
      </c>
      <c r="D42" s="252"/>
      <c r="E42" s="279"/>
      <c r="F42" s="251" t="s">
        <v>825</v>
      </c>
      <c r="G42" s="87"/>
      <c r="H42" s="95"/>
      <c r="I42" s="251" t="s">
        <v>802</v>
      </c>
      <c r="J42" s="87"/>
      <c r="K42" s="4"/>
      <c r="L42" s="33"/>
      <c r="M42" s="72"/>
      <c r="N42" s="270"/>
      <c r="O42" s="119" t="s">
        <v>803</v>
      </c>
      <c r="P42" s="271"/>
      <c r="R42" s="35"/>
      <c r="S42" s="243" t="s">
        <v>827</v>
      </c>
      <c r="T42" s="259"/>
      <c r="U42" s="255"/>
      <c r="AL42" s="25"/>
      <c r="AM42" s="25"/>
    </row>
    <row r="43" spans="1:39" ht="34.5" x14ac:dyDescent="0.3">
      <c r="A43" s="266" t="s">
        <v>135</v>
      </c>
      <c r="B43" s="335" t="s">
        <v>143</v>
      </c>
      <c r="C43" s="272" t="s">
        <v>412</v>
      </c>
      <c r="D43" s="274" t="s">
        <v>1031</v>
      </c>
      <c r="E43" s="275" t="s">
        <v>157</v>
      </c>
      <c r="F43" s="269" t="s">
        <v>1029</v>
      </c>
      <c r="G43" s="269" t="s">
        <v>1030</v>
      </c>
      <c r="H43" s="269" t="s">
        <v>413</v>
      </c>
      <c r="I43" s="269" t="s">
        <v>414</v>
      </c>
      <c r="J43" s="269" t="s">
        <v>415</v>
      </c>
      <c r="K43" s="269" t="s">
        <v>795</v>
      </c>
      <c r="L43" s="269" t="s">
        <v>153</v>
      </c>
      <c r="M43" s="269" t="s">
        <v>416</v>
      </c>
      <c r="N43" s="269" t="s">
        <v>796</v>
      </c>
      <c r="O43" s="269" t="s">
        <v>159</v>
      </c>
      <c r="P43" s="269" t="s">
        <v>160</v>
      </c>
      <c r="Q43" s="257" t="s">
        <v>824</v>
      </c>
      <c r="R43" s="269" t="s">
        <v>137</v>
      </c>
      <c r="S43" s="269" t="s">
        <v>138</v>
      </c>
      <c r="T43" s="269" t="s">
        <v>161</v>
      </c>
      <c r="U43" s="269" t="s">
        <v>162</v>
      </c>
    </row>
    <row r="44" spans="1:39" x14ac:dyDescent="0.3">
      <c r="A44" s="263">
        <f>2</f>
        <v>2</v>
      </c>
      <c r="B44" s="38"/>
      <c r="C44" s="38"/>
      <c r="D44" s="276"/>
      <c r="E44" s="277"/>
      <c r="F44" s="38"/>
      <c r="G44" s="38"/>
      <c r="H44" s="261">
        <f t="shared" ref="H44" si="16">D44*0.5</f>
        <v>0</v>
      </c>
      <c r="I44" s="260">
        <f t="shared" ref="I44" si="17">(3.14*(H44*H44)*C44)/1000</f>
        <v>0</v>
      </c>
      <c r="J44" s="260">
        <f t="shared" ref="J44:J53" si="18">((PI()*(F44*0.5)*(G44*0.5)*E44)/3)/1000</f>
        <v>0</v>
      </c>
      <c r="K44" s="260">
        <f t="shared" ref="K44:K53" si="19">I44+J44</f>
        <v>0</v>
      </c>
      <c r="L44" s="261">
        <f t="shared" ref="L44:L53" si="20">IF(B44=1,$G$11,IF(B44=2,$G$12,IF(B44=3,$G$13,IF(B44=4,$G$14,))))</f>
        <v>0</v>
      </c>
      <c r="M44" s="262">
        <f t="shared" ref="M44:M53" si="21">IF(B44=1,$D$11,IF(B44=2,$D$12,IF(B44=3,$D$13,IF(B44=4,$D$14,))))</f>
        <v>0</v>
      </c>
      <c r="N44" s="262">
        <f t="shared" ref="N44" si="22">(K44*M44)*L44</f>
        <v>0</v>
      </c>
      <c r="O44" s="262" t="e">
        <f t="shared" ref="O44:O53" si="23">N44*(1/$B$6)</f>
        <v>#DIV/0!</v>
      </c>
      <c r="P44" s="262" t="e">
        <f t="shared" ref="P44" si="24">O44/1000</f>
        <v>#DIV/0!</v>
      </c>
      <c r="Q44" s="258"/>
      <c r="R44" s="262" t="str">
        <f t="shared" ref="R44:R53" si="25">IF(B44=1, P44,"")</f>
        <v/>
      </c>
      <c r="S44" s="262" t="str">
        <f t="shared" ref="S44:S53" si="26">IF(B44=2, P44,"")</f>
        <v/>
      </c>
      <c r="T44" s="262" t="str">
        <f t="shared" ref="T44:T53" si="27">IF(B44=3, P44,"")</f>
        <v/>
      </c>
      <c r="U44" s="264" t="str">
        <f t="shared" ref="U44:U53" si="28">IF(B44=4, P44,"")</f>
        <v/>
      </c>
    </row>
    <row r="45" spans="1:39" x14ac:dyDescent="0.3">
      <c r="A45" s="263">
        <f>2</f>
        <v>2</v>
      </c>
      <c r="B45" s="38"/>
      <c r="C45" s="38"/>
      <c r="D45" s="276"/>
      <c r="E45" s="277"/>
      <c r="F45" s="38"/>
      <c r="G45" s="38"/>
      <c r="H45" s="261">
        <f t="shared" ref="H45:H53" si="29">D45*0.5</f>
        <v>0</v>
      </c>
      <c r="I45" s="260">
        <f t="shared" ref="I45:I53" si="30">(3.14*(H45*H45)*C45)/1000</f>
        <v>0</v>
      </c>
      <c r="J45" s="260">
        <f t="shared" si="18"/>
        <v>0</v>
      </c>
      <c r="K45" s="260">
        <f t="shared" si="19"/>
        <v>0</v>
      </c>
      <c r="L45" s="261">
        <f t="shared" si="20"/>
        <v>0</v>
      </c>
      <c r="M45" s="262">
        <f t="shared" si="21"/>
        <v>0</v>
      </c>
      <c r="N45" s="262">
        <f t="shared" ref="N45:N53" si="31">(K45*M45)*L45</f>
        <v>0</v>
      </c>
      <c r="O45" s="262" t="e">
        <f t="shared" si="23"/>
        <v>#DIV/0!</v>
      </c>
      <c r="P45" s="262" t="e">
        <f t="shared" ref="P45:P53" si="32">O45/1000</f>
        <v>#DIV/0!</v>
      </c>
      <c r="Q45" s="258"/>
      <c r="R45" s="262" t="str">
        <f t="shared" si="25"/>
        <v/>
      </c>
      <c r="S45" s="262" t="str">
        <f t="shared" si="26"/>
        <v/>
      </c>
      <c r="T45" s="262" t="str">
        <f t="shared" si="27"/>
        <v/>
      </c>
      <c r="U45" s="264" t="str">
        <f t="shared" si="28"/>
        <v/>
      </c>
    </row>
    <row r="46" spans="1:39" x14ac:dyDescent="0.3">
      <c r="A46" s="263">
        <f>2</f>
        <v>2</v>
      </c>
      <c r="B46" s="38"/>
      <c r="C46" s="38"/>
      <c r="D46" s="276"/>
      <c r="E46" s="277"/>
      <c r="F46" s="38"/>
      <c r="G46" s="38"/>
      <c r="H46" s="261">
        <f t="shared" si="29"/>
        <v>0</v>
      </c>
      <c r="I46" s="260">
        <f t="shared" si="30"/>
        <v>0</v>
      </c>
      <c r="J46" s="260">
        <f t="shared" si="18"/>
        <v>0</v>
      </c>
      <c r="K46" s="260">
        <f t="shared" si="19"/>
        <v>0</v>
      </c>
      <c r="L46" s="261">
        <f t="shared" si="20"/>
        <v>0</v>
      </c>
      <c r="M46" s="262">
        <f t="shared" si="21"/>
        <v>0</v>
      </c>
      <c r="N46" s="262">
        <f t="shared" si="31"/>
        <v>0</v>
      </c>
      <c r="O46" s="262" t="e">
        <f t="shared" si="23"/>
        <v>#DIV/0!</v>
      </c>
      <c r="P46" s="262" t="e">
        <f t="shared" si="32"/>
        <v>#DIV/0!</v>
      </c>
      <c r="Q46" s="258"/>
      <c r="R46" s="262" t="str">
        <f t="shared" si="25"/>
        <v/>
      </c>
      <c r="S46" s="262" t="str">
        <f t="shared" si="26"/>
        <v/>
      </c>
      <c r="T46" s="262" t="str">
        <f t="shared" si="27"/>
        <v/>
      </c>
      <c r="U46" s="264" t="str">
        <f t="shared" si="28"/>
        <v/>
      </c>
    </row>
    <row r="47" spans="1:39" x14ac:dyDescent="0.3">
      <c r="A47" s="263">
        <f>2</f>
        <v>2</v>
      </c>
      <c r="B47" s="38"/>
      <c r="C47" s="38"/>
      <c r="D47" s="276"/>
      <c r="E47" s="277"/>
      <c r="F47" s="38"/>
      <c r="G47" s="38"/>
      <c r="H47" s="261">
        <f t="shared" si="29"/>
        <v>0</v>
      </c>
      <c r="I47" s="260">
        <f t="shared" si="30"/>
        <v>0</v>
      </c>
      <c r="J47" s="260">
        <f t="shared" si="18"/>
        <v>0</v>
      </c>
      <c r="K47" s="260">
        <f t="shared" si="19"/>
        <v>0</v>
      </c>
      <c r="L47" s="261">
        <f t="shared" si="20"/>
        <v>0</v>
      </c>
      <c r="M47" s="262">
        <f t="shared" si="21"/>
        <v>0</v>
      </c>
      <c r="N47" s="262">
        <f t="shared" si="31"/>
        <v>0</v>
      </c>
      <c r="O47" s="262" t="e">
        <f t="shared" si="23"/>
        <v>#DIV/0!</v>
      </c>
      <c r="P47" s="262" t="e">
        <f t="shared" si="32"/>
        <v>#DIV/0!</v>
      </c>
      <c r="Q47" s="258"/>
      <c r="R47" s="262" t="str">
        <f t="shared" si="25"/>
        <v/>
      </c>
      <c r="S47" s="262" t="str">
        <f t="shared" si="26"/>
        <v/>
      </c>
      <c r="T47" s="262" t="str">
        <f t="shared" si="27"/>
        <v/>
      </c>
      <c r="U47" s="264" t="str">
        <f t="shared" si="28"/>
        <v/>
      </c>
    </row>
    <row r="48" spans="1:39" x14ac:dyDescent="0.3">
      <c r="A48" s="263">
        <f>2</f>
        <v>2</v>
      </c>
      <c r="B48" s="38"/>
      <c r="C48" s="38"/>
      <c r="D48" s="276"/>
      <c r="E48" s="277"/>
      <c r="F48" s="38"/>
      <c r="G48" s="38"/>
      <c r="H48" s="261">
        <f t="shared" si="29"/>
        <v>0</v>
      </c>
      <c r="I48" s="260">
        <f t="shared" si="30"/>
        <v>0</v>
      </c>
      <c r="J48" s="260">
        <f t="shared" si="18"/>
        <v>0</v>
      </c>
      <c r="K48" s="260">
        <f t="shared" si="19"/>
        <v>0</v>
      </c>
      <c r="L48" s="261">
        <f t="shared" si="20"/>
        <v>0</v>
      </c>
      <c r="M48" s="262">
        <f t="shared" si="21"/>
        <v>0</v>
      </c>
      <c r="N48" s="262">
        <f t="shared" si="31"/>
        <v>0</v>
      </c>
      <c r="O48" s="262" t="e">
        <f t="shared" si="23"/>
        <v>#DIV/0!</v>
      </c>
      <c r="P48" s="262" t="e">
        <f t="shared" si="32"/>
        <v>#DIV/0!</v>
      </c>
      <c r="Q48" s="258"/>
      <c r="R48" s="262" t="str">
        <f t="shared" si="25"/>
        <v/>
      </c>
      <c r="S48" s="262" t="str">
        <f t="shared" si="26"/>
        <v/>
      </c>
      <c r="T48" s="262" t="str">
        <f t="shared" si="27"/>
        <v/>
      </c>
      <c r="U48" s="264" t="str">
        <f t="shared" si="28"/>
        <v/>
      </c>
    </row>
    <row r="49" spans="1:21" x14ac:dyDescent="0.3">
      <c r="A49" s="263">
        <f>2</f>
        <v>2</v>
      </c>
      <c r="B49" s="38"/>
      <c r="C49" s="38"/>
      <c r="D49" s="276"/>
      <c r="E49" s="277"/>
      <c r="F49" s="38"/>
      <c r="G49" s="38"/>
      <c r="H49" s="261">
        <f t="shared" si="29"/>
        <v>0</v>
      </c>
      <c r="I49" s="260">
        <f t="shared" si="30"/>
        <v>0</v>
      </c>
      <c r="J49" s="260">
        <f t="shared" si="18"/>
        <v>0</v>
      </c>
      <c r="K49" s="260">
        <f t="shared" si="19"/>
        <v>0</v>
      </c>
      <c r="L49" s="261">
        <f t="shared" si="20"/>
        <v>0</v>
      </c>
      <c r="M49" s="262">
        <f t="shared" si="21"/>
        <v>0</v>
      </c>
      <c r="N49" s="262">
        <f t="shared" si="31"/>
        <v>0</v>
      </c>
      <c r="O49" s="262" t="e">
        <f t="shared" si="23"/>
        <v>#DIV/0!</v>
      </c>
      <c r="P49" s="262" t="e">
        <f t="shared" si="32"/>
        <v>#DIV/0!</v>
      </c>
      <c r="Q49" s="258"/>
      <c r="R49" s="262" t="str">
        <f t="shared" si="25"/>
        <v/>
      </c>
      <c r="S49" s="262" t="str">
        <f t="shared" si="26"/>
        <v/>
      </c>
      <c r="T49" s="262" t="str">
        <f t="shared" si="27"/>
        <v/>
      </c>
      <c r="U49" s="264" t="str">
        <f t="shared" si="28"/>
        <v/>
      </c>
    </row>
    <row r="50" spans="1:21" x14ac:dyDescent="0.3">
      <c r="A50" s="263">
        <f>2</f>
        <v>2</v>
      </c>
      <c r="B50" s="38"/>
      <c r="C50" s="38"/>
      <c r="D50" s="276"/>
      <c r="E50" s="277"/>
      <c r="F50" s="38"/>
      <c r="G50" s="38"/>
      <c r="H50" s="261">
        <f t="shared" si="29"/>
        <v>0</v>
      </c>
      <c r="I50" s="260">
        <f t="shared" si="30"/>
        <v>0</v>
      </c>
      <c r="J50" s="260">
        <f t="shared" si="18"/>
        <v>0</v>
      </c>
      <c r="K50" s="260">
        <f t="shared" si="19"/>
        <v>0</v>
      </c>
      <c r="L50" s="261">
        <f t="shared" si="20"/>
        <v>0</v>
      </c>
      <c r="M50" s="262">
        <f t="shared" si="21"/>
        <v>0</v>
      </c>
      <c r="N50" s="262">
        <f t="shared" si="31"/>
        <v>0</v>
      </c>
      <c r="O50" s="262" t="e">
        <f t="shared" si="23"/>
        <v>#DIV/0!</v>
      </c>
      <c r="P50" s="262" t="e">
        <f t="shared" si="32"/>
        <v>#DIV/0!</v>
      </c>
      <c r="Q50" s="258"/>
      <c r="R50" s="262" t="str">
        <f t="shared" si="25"/>
        <v/>
      </c>
      <c r="S50" s="262" t="str">
        <f t="shared" si="26"/>
        <v/>
      </c>
      <c r="T50" s="262" t="str">
        <f t="shared" si="27"/>
        <v/>
      </c>
      <c r="U50" s="264" t="str">
        <f t="shared" si="28"/>
        <v/>
      </c>
    </row>
    <row r="51" spans="1:21" x14ac:dyDescent="0.3">
      <c r="A51" s="263">
        <f>2</f>
        <v>2</v>
      </c>
      <c r="B51" s="38"/>
      <c r="C51" s="38"/>
      <c r="D51" s="276"/>
      <c r="E51" s="277"/>
      <c r="F51" s="38"/>
      <c r="G51" s="38"/>
      <c r="H51" s="261">
        <f t="shared" si="29"/>
        <v>0</v>
      </c>
      <c r="I51" s="260">
        <f t="shared" si="30"/>
        <v>0</v>
      </c>
      <c r="J51" s="260">
        <f t="shared" si="18"/>
        <v>0</v>
      </c>
      <c r="K51" s="260">
        <f t="shared" si="19"/>
        <v>0</v>
      </c>
      <c r="L51" s="261">
        <f t="shared" si="20"/>
        <v>0</v>
      </c>
      <c r="M51" s="262">
        <f t="shared" si="21"/>
        <v>0</v>
      </c>
      <c r="N51" s="262">
        <f t="shared" si="31"/>
        <v>0</v>
      </c>
      <c r="O51" s="262" t="e">
        <f t="shared" si="23"/>
        <v>#DIV/0!</v>
      </c>
      <c r="P51" s="262" t="e">
        <f t="shared" si="32"/>
        <v>#DIV/0!</v>
      </c>
      <c r="Q51" s="258"/>
      <c r="R51" s="262" t="str">
        <f t="shared" si="25"/>
        <v/>
      </c>
      <c r="S51" s="262" t="str">
        <f t="shared" si="26"/>
        <v/>
      </c>
      <c r="T51" s="262" t="str">
        <f t="shared" si="27"/>
        <v/>
      </c>
      <c r="U51" s="264" t="str">
        <f t="shared" si="28"/>
        <v/>
      </c>
    </row>
    <row r="52" spans="1:21" x14ac:dyDescent="0.3">
      <c r="A52" s="263">
        <f>2</f>
        <v>2</v>
      </c>
      <c r="B52" s="38"/>
      <c r="C52" s="38"/>
      <c r="D52" s="276"/>
      <c r="E52" s="277"/>
      <c r="F52" s="38"/>
      <c r="G52" s="38"/>
      <c r="H52" s="261">
        <f t="shared" si="29"/>
        <v>0</v>
      </c>
      <c r="I52" s="260">
        <f t="shared" si="30"/>
        <v>0</v>
      </c>
      <c r="J52" s="260">
        <f t="shared" si="18"/>
        <v>0</v>
      </c>
      <c r="K52" s="260">
        <f t="shared" si="19"/>
        <v>0</v>
      </c>
      <c r="L52" s="261">
        <f t="shared" si="20"/>
        <v>0</v>
      </c>
      <c r="M52" s="262">
        <f t="shared" si="21"/>
        <v>0</v>
      </c>
      <c r="N52" s="262">
        <f t="shared" si="31"/>
        <v>0</v>
      </c>
      <c r="O52" s="262" t="e">
        <f t="shared" si="23"/>
        <v>#DIV/0!</v>
      </c>
      <c r="P52" s="262" t="e">
        <f t="shared" si="32"/>
        <v>#DIV/0!</v>
      </c>
      <c r="Q52" s="258"/>
      <c r="R52" s="262" t="str">
        <f t="shared" si="25"/>
        <v/>
      </c>
      <c r="S52" s="262" t="str">
        <f t="shared" si="26"/>
        <v/>
      </c>
      <c r="T52" s="262" t="str">
        <f t="shared" si="27"/>
        <v/>
      </c>
      <c r="U52" s="264" t="str">
        <f t="shared" si="28"/>
        <v/>
      </c>
    </row>
    <row r="53" spans="1:21" x14ac:dyDescent="0.3">
      <c r="A53" s="263">
        <f>2</f>
        <v>2</v>
      </c>
      <c r="B53" s="38"/>
      <c r="C53" s="38"/>
      <c r="D53" s="276"/>
      <c r="E53" s="277"/>
      <c r="F53" s="38"/>
      <c r="G53" s="38"/>
      <c r="H53" s="261">
        <f t="shared" si="29"/>
        <v>0</v>
      </c>
      <c r="I53" s="260">
        <f t="shared" si="30"/>
        <v>0</v>
      </c>
      <c r="J53" s="260">
        <f t="shared" si="18"/>
        <v>0</v>
      </c>
      <c r="K53" s="260">
        <f t="shared" si="19"/>
        <v>0</v>
      </c>
      <c r="L53" s="261">
        <f t="shared" si="20"/>
        <v>0</v>
      </c>
      <c r="M53" s="262">
        <f t="shared" si="21"/>
        <v>0</v>
      </c>
      <c r="N53" s="262">
        <f t="shared" si="31"/>
        <v>0</v>
      </c>
      <c r="O53" s="262" t="e">
        <f t="shared" si="23"/>
        <v>#DIV/0!</v>
      </c>
      <c r="P53" s="262" t="e">
        <f t="shared" si="32"/>
        <v>#DIV/0!</v>
      </c>
      <c r="Q53" s="258"/>
      <c r="R53" s="262" t="str">
        <f t="shared" si="25"/>
        <v/>
      </c>
      <c r="S53" s="262" t="str">
        <f t="shared" si="26"/>
        <v/>
      </c>
      <c r="T53" s="262" t="str">
        <f t="shared" si="27"/>
        <v/>
      </c>
      <c r="U53" s="264" t="str">
        <f t="shared" si="28"/>
        <v/>
      </c>
    </row>
    <row r="54" spans="1:21" x14ac:dyDescent="0.3">
      <c r="B54" s="4" t="s">
        <v>139</v>
      </c>
      <c r="C54" s="253">
        <f>COUNT(B44:B53)</f>
        <v>0</v>
      </c>
      <c r="D54" s="4"/>
      <c r="F54" s="28"/>
      <c r="G54" s="28"/>
      <c r="H54" s="28"/>
      <c r="I54" s="72"/>
      <c r="J54" s="28"/>
      <c r="K54" s="28"/>
      <c r="L54" s="72"/>
      <c r="O54" s="254" t="e">
        <f>SUM(O44:O53)</f>
        <v>#DIV/0!</v>
      </c>
      <c r="P54" s="254" t="e">
        <f>SUM(P44:P53)</f>
        <v>#DIV/0!</v>
      </c>
      <c r="R54" s="254">
        <f>SUM(R44:R53)</f>
        <v>0</v>
      </c>
      <c r="S54" s="256">
        <f>SUM(S44:S53)</f>
        <v>0</v>
      </c>
      <c r="T54" s="256">
        <f>SUM(T44:T53)</f>
        <v>0</v>
      </c>
      <c r="U54" s="256">
        <f>SUM(U44:U53)</f>
        <v>0</v>
      </c>
    </row>
    <row r="55" spans="1:21" x14ac:dyDescent="0.3">
      <c r="T55" s="128"/>
      <c r="U55" s="128"/>
    </row>
    <row r="56" spans="1:21" x14ac:dyDescent="0.3">
      <c r="T56" s="128"/>
      <c r="U56" s="128"/>
    </row>
    <row r="57" spans="1:21" x14ac:dyDescent="0.3">
      <c r="T57" s="128"/>
      <c r="U57" s="128"/>
    </row>
    <row r="58" spans="1:21" x14ac:dyDescent="0.3">
      <c r="T58" s="128"/>
      <c r="U58" s="128"/>
    </row>
    <row r="59" spans="1:21" x14ac:dyDescent="0.3">
      <c r="A59" s="3"/>
      <c r="C59" s="119" t="s">
        <v>826</v>
      </c>
      <c r="D59" s="252"/>
      <c r="E59" s="279"/>
      <c r="F59" s="251" t="s">
        <v>825</v>
      </c>
      <c r="G59" s="87"/>
      <c r="H59" s="95"/>
      <c r="I59" s="251" t="s">
        <v>802</v>
      </c>
      <c r="J59" s="87"/>
      <c r="K59" s="4"/>
      <c r="L59" s="33"/>
      <c r="M59" s="72"/>
      <c r="N59" s="270"/>
      <c r="O59" s="119" t="s">
        <v>803</v>
      </c>
      <c r="P59" s="271"/>
      <c r="R59" s="35"/>
      <c r="S59" s="243" t="s">
        <v>827</v>
      </c>
      <c r="T59" s="259"/>
      <c r="U59" s="255"/>
    </row>
    <row r="60" spans="1:21" ht="34.5" x14ac:dyDescent="0.3">
      <c r="A60" s="266" t="s">
        <v>135</v>
      </c>
      <c r="B60" s="335" t="s">
        <v>143</v>
      </c>
      <c r="C60" s="272" t="s">
        <v>412</v>
      </c>
      <c r="D60" s="274" t="s">
        <v>1031</v>
      </c>
      <c r="E60" s="275" t="s">
        <v>157</v>
      </c>
      <c r="F60" s="269" t="s">
        <v>1029</v>
      </c>
      <c r="G60" s="269" t="s">
        <v>1030</v>
      </c>
      <c r="H60" s="269" t="s">
        <v>413</v>
      </c>
      <c r="I60" s="269" t="s">
        <v>414</v>
      </c>
      <c r="J60" s="269" t="s">
        <v>415</v>
      </c>
      <c r="K60" s="269" t="s">
        <v>795</v>
      </c>
      <c r="L60" s="269" t="s">
        <v>153</v>
      </c>
      <c r="M60" s="269" t="s">
        <v>416</v>
      </c>
      <c r="N60" s="269" t="s">
        <v>796</v>
      </c>
      <c r="O60" s="269" t="s">
        <v>159</v>
      </c>
      <c r="P60" s="269" t="s">
        <v>160</v>
      </c>
      <c r="Q60" s="257" t="s">
        <v>824</v>
      </c>
      <c r="R60" s="269" t="s">
        <v>137</v>
      </c>
      <c r="S60" s="269" t="s">
        <v>138</v>
      </c>
      <c r="T60" s="269" t="s">
        <v>161</v>
      </c>
      <c r="U60" s="269" t="s">
        <v>162</v>
      </c>
    </row>
    <row r="61" spans="1:21" x14ac:dyDescent="0.3">
      <c r="A61" s="263">
        <f>3</f>
        <v>3</v>
      </c>
      <c r="B61" s="38"/>
      <c r="C61" s="38"/>
      <c r="D61" s="276"/>
      <c r="E61" s="277"/>
      <c r="F61" s="38"/>
      <c r="G61" s="38"/>
      <c r="H61" s="261">
        <f t="shared" ref="H61" si="33">D61*0.5</f>
        <v>0</v>
      </c>
      <c r="I61" s="260">
        <f t="shared" ref="I61" si="34">(3.14*(H61*H61)*C61)/1000</f>
        <v>0</v>
      </c>
      <c r="J61" s="260">
        <f t="shared" ref="J61:J70" si="35">((PI()*(F61*0.5)*(G61*0.5)*E61)/3)/1000</f>
        <v>0</v>
      </c>
      <c r="K61" s="260">
        <f t="shared" ref="K61:K70" si="36">I61+J61</f>
        <v>0</v>
      </c>
      <c r="L61" s="261">
        <f t="shared" ref="L61:L70" si="37">IF(B61=1,$G$11,IF(B61=2,$G$12,IF(B61=3,$G$13,IF(B61=4,$G$14,))))</f>
        <v>0</v>
      </c>
      <c r="M61" s="262">
        <f t="shared" ref="M61:M70" si="38">IF(B61=1,$D$11,IF(B61=2,$D$12,IF(B61=3,$D$13,IF(B61=4,$D$14,))))</f>
        <v>0</v>
      </c>
      <c r="N61" s="262">
        <f t="shared" ref="N61" si="39">(K61*M61)*L61</f>
        <v>0</v>
      </c>
      <c r="O61" s="262" t="e">
        <f t="shared" ref="O61:O70" si="40">N61*(1/$B$6)</f>
        <v>#DIV/0!</v>
      </c>
      <c r="P61" s="262" t="e">
        <f t="shared" ref="P61" si="41">O61/1000</f>
        <v>#DIV/0!</v>
      </c>
      <c r="Q61" s="258"/>
      <c r="R61" s="262" t="str">
        <f t="shared" ref="R61:R70" si="42">IF(B61=1, P61,"")</f>
        <v/>
      </c>
      <c r="S61" s="262" t="str">
        <f t="shared" ref="S61:S70" si="43">IF(B61=2, P61,"")</f>
        <v/>
      </c>
      <c r="T61" s="262" t="str">
        <f t="shared" ref="T61:T70" si="44">IF(B61=3, P61,"")</f>
        <v/>
      </c>
      <c r="U61" s="264" t="str">
        <f t="shared" ref="U61:U70" si="45">IF(B61=4, P61,"")</f>
        <v/>
      </c>
    </row>
    <row r="62" spans="1:21" x14ac:dyDescent="0.3">
      <c r="A62" s="263">
        <f>3</f>
        <v>3</v>
      </c>
      <c r="B62" s="38"/>
      <c r="C62" s="38"/>
      <c r="D62" s="276"/>
      <c r="E62" s="277"/>
      <c r="F62" s="38"/>
      <c r="G62" s="38"/>
      <c r="H62" s="261">
        <f t="shared" ref="H62:H70" si="46">D62*0.5</f>
        <v>0</v>
      </c>
      <c r="I62" s="260">
        <f t="shared" ref="I62:I70" si="47">(3.14*(H62*H62)*C62)/1000</f>
        <v>0</v>
      </c>
      <c r="J62" s="260">
        <f t="shared" si="35"/>
        <v>0</v>
      </c>
      <c r="K62" s="260">
        <f t="shared" si="36"/>
        <v>0</v>
      </c>
      <c r="L62" s="261">
        <f t="shared" si="37"/>
        <v>0</v>
      </c>
      <c r="M62" s="262">
        <f t="shared" si="38"/>
        <v>0</v>
      </c>
      <c r="N62" s="262">
        <f t="shared" ref="N62:N70" si="48">(K62*M62)*L62</f>
        <v>0</v>
      </c>
      <c r="O62" s="262" t="e">
        <f t="shared" si="40"/>
        <v>#DIV/0!</v>
      </c>
      <c r="P62" s="262" t="e">
        <f t="shared" ref="P62:P70" si="49">O62/1000</f>
        <v>#DIV/0!</v>
      </c>
      <c r="Q62" s="258"/>
      <c r="R62" s="262" t="str">
        <f t="shared" si="42"/>
        <v/>
      </c>
      <c r="S62" s="262" t="str">
        <f t="shared" si="43"/>
        <v/>
      </c>
      <c r="T62" s="262" t="str">
        <f t="shared" si="44"/>
        <v/>
      </c>
      <c r="U62" s="264" t="str">
        <f t="shared" si="45"/>
        <v/>
      </c>
    </row>
    <row r="63" spans="1:21" x14ac:dyDescent="0.3">
      <c r="A63" s="263">
        <f>3</f>
        <v>3</v>
      </c>
      <c r="B63" s="38"/>
      <c r="C63" s="38"/>
      <c r="D63" s="276"/>
      <c r="E63" s="277"/>
      <c r="F63" s="38"/>
      <c r="G63" s="38"/>
      <c r="H63" s="261">
        <f t="shared" si="46"/>
        <v>0</v>
      </c>
      <c r="I63" s="260">
        <f t="shared" si="47"/>
        <v>0</v>
      </c>
      <c r="J63" s="260">
        <f t="shared" si="35"/>
        <v>0</v>
      </c>
      <c r="K63" s="260">
        <f t="shared" si="36"/>
        <v>0</v>
      </c>
      <c r="L63" s="261">
        <f t="shared" si="37"/>
        <v>0</v>
      </c>
      <c r="M63" s="262">
        <f t="shared" si="38"/>
        <v>0</v>
      </c>
      <c r="N63" s="262">
        <f t="shared" si="48"/>
        <v>0</v>
      </c>
      <c r="O63" s="262" t="e">
        <f t="shared" si="40"/>
        <v>#DIV/0!</v>
      </c>
      <c r="P63" s="262" t="e">
        <f t="shared" si="49"/>
        <v>#DIV/0!</v>
      </c>
      <c r="Q63" s="258"/>
      <c r="R63" s="262" t="str">
        <f t="shared" si="42"/>
        <v/>
      </c>
      <c r="S63" s="262" t="str">
        <f t="shared" si="43"/>
        <v/>
      </c>
      <c r="T63" s="262" t="str">
        <f t="shared" si="44"/>
        <v/>
      </c>
      <c r="U63" s="264" t="str">
        <f t="shared" si="45"/>
        <v/>
      </c>
    </row>
    <row r="64" spans="1:21" x14ac:dyDescent="0.3">
      <c r="A64" s="263">
        <f>3</f>
        <v>3</v>
      </c>
      <c r="B64" s="38"/>
      <c r="C64" s="38"/>
      <c r="D64" s="276"/>
      <c r="E64" s="277"/>
      <c r="F64" s="38"/>
      <c r="G64" s="38"/>
      <c r="H64" s="261">
        <f t="shared" si="46"/>
        <v>0</v>
      </c>
      <c r="I64" s="260">
        <f t="shared" si="47"/>
        <v>0</v>
      </c>
      <c r="J64" s="260">
        <f t="shared" si="35"/>
        <v>0</v>
      </c>
      <c r="K64" s="260">
        <f t="shared" si="36"/>
        <v>0</v>
      </c>
      <c r="L64" s="261">
        <f t="shared" si="37"/>
        <v>0</v>
      </c>
      <c r="M64" s="262">
        <f t="shared" si="38"/>
        <v>0</v>
      </c>
      <c r="N64" s="262">
        <f t="shared" si="48"/>
        <v>0</v>
      </c>
      <c r="O64" s="262" t="e">
        <f t="shared" si="40"/>
        <v>#DIV/0!</v>
      </c>
      <c r="P64" s="262" t="e">
        <f t="shared" si="49"/>
        <v>#DIV/0!</v>
      </c>
      <c r="Q64" s="258"/>
      <c r="R64" s="262" t="str">
        <f t="shared" si="42"/>
        <v/>
      </c>
      <c r="S64" s="262" t="str">
        <f t="shared" si="43"/>
        <v/>
      </c>
      <c r="T64" s="262" t="str">
        <f t="shared" si="44"/>
        <v/>
      </c>
      <c r="U64" s="264" t="str">
        <f t="shared" si="45"/>
        <v/>
      </c>
    </row>
    <row r="65" spans="1:21" x14ac:dyDescent="0.3">
      <c r="A65" s="263">
        <f>3</f>
        <v>3</v>
      </c>
      <c r="B65" s="38"/>
      <c r="C65" s="38"/>
      <c r="D65" s="276"/>
      <c r="E65" s="277"/>
      <c r="F65" s="38"/>
      <c r="G65" s="38"/>
      <c r="H65" s="261">
        <f t="shared" si="46"/>
        <v>0</v>
      </c>
      <c r="I65" s="260">
        <f t="shared" si="47"/>
        <v>0</v>
      </c>
      <c r="J65" s="260">
        <f t="shared" si="35"/>
        <v>0</v>
      </c>
      <c r="K65" s="260">
        <f t="shared" si="36"/>
        <v>0</v>
      </c>
      <c r="L65" s="261">
        <f t="shared" si="37"/>
        <v>0</v>
      </c>
      <c r="M65" s="262">
        <f t="shared" si="38"/>
        <v>0</v>
      </c>
      <c r="N65" s="262">
        <f t="shared" si="48"/>
        <v>0</v>
      </c>
      <c r="O65" s="262" t="e">
        <f t="shared" si="40"/>
        <v>#DIV/0!</v>
      </c>
      <c r="P65" s="262" t="e">
        <f t="shared" si="49"/>
        <v>#DIV/0!</v>
      </c>
      <c r="Q65" s="258"/>
      <c r="R65" s="262" t="str">
        <f t="shared" si="42"/>
        <v/>
      </c>
      <c r="S65" s="262" t="str">
        <f t="shared" si="43"/>
        <v/>
      </c>
      <c r="T65" s="262" t="str">
        <f t="shared" si="44"/>
        <v/>
      </c>
      <c r="U65" s="264" t="str">
        <f t="shared" si="45"/>
        <v/>
      </c>
    </row>
    <row r="66" spans="1:21" x14ac:dyDescent="0.3">
      <c r="A66" s="263">
        <f>3</f>
        <v>3</v>
      </c>
      <c r="B66" s="38"/>
      <c r="C66" s="38"/>
      <c r="D66" s="276"/>
      <c r="E66" s="277"/>
      <c r="F66" s="38"/>
      <c r="G66" s="38"/>
      <c r="H66" s="261">
        <f t="shared" si="46"/>
        <v>0</v>
      </c>
      <c r="I66" s="260">
        <f t="shared" si="47"/>
        <v>0</v>
      </c>
      <c r="J66" s="260">
        <f t="shared" si="35"/>
        <v>0</v>
      </c>
      <c r="K66" s="260">
        <f t="shared" si="36"/>
        <v>0</v>
      </c>
      <c r="L66" s="261">
        <f t="shared" si="37"/>
        <v>0</v>
      </c>
      <c r="M66" s="262">
        <f t="shared" si="38"/>
        <v>0</v>
      </c>
      <c r="N66" s="262">
        <f t="shared" si="48"/>
        <v>0</v>
      </c>
      <c r="O66" s="262" t="e">
        <f t="shared" si="40"/>
        <v>#DIV/0!</v>
      </c>
      <c r="P66" s="262" t="e">
        <f t="shared" si="49"/>
        <v>#DIV/0!</v>
      </c>
      <c r="Q66" s="258"/>
      <c r="R66" s="262" t="str">
        <f t="shared" si="42"/>
        <v/>
      </c>
      <c r="S66" s="262" t="str">
        <f t="shared" si="43"/>
        <v/>
      </c>
      <c r="T66" s="262" t="str">
        <f t="shared" si="44"/>
        <v/>
      </c>
      <c r="U66" s="264" t="str">
        <f t="shared" si="45"/>
        <v/>
      </c>
    </row>
    <row r="67" spans="1:21" x14ac:dyDescent="0.3">
      <c r="A67" s="263">
        <f>3</f>
        <v>3</v>
      </c>
      <c r="B67" s="38"/>
      <c r="C67" s="38"/>
      <c r="D67" s="276"/>
      <c r="E67" s="277"/>
      <c r="F67" s="38"/>
      <c r="G67" s="38"/>
      <c r="H67" s="261">
        <f t="shared" si="46"/>
        <v>0</v>
      </c>
      <c r="I67" s="260">
        <f t="shared" si="47"/>
        <v>0</v>
      </c>
      <c r="J67" s="260">
        <f t="shared" si="35"/>
        <v>0</v>
      </c>
      <c r="K67" s="260">
        <f t="shared" si="36"/>
        <v>0</v>
      </c>
      <c r="L67" s="261">
        <f t="shared" si="37"/>
        <v>0</v>
      </c>
      <c r="M67" s="262">
        <f t="shared" si="38"/>
        <v>0</v>
      </c>
      <c r="N67" s="262">
        <f t="shared" si="48"/>
        <v>0</v>
      </c>
      <c r="O67" s="262" t="e">
        <f t="shared" si="40"/>
        <v>#DIV/0!</v>
      </c>
      <c r="P67" s="262" t="e">
        <f t="shared" si="49"/>
        <v>#DIV/0!</v>
      </c>
      <c r="Q67" s="258"/>
      <c r="R67" s="262" t="str">
        <f t="shared" si="42"/>
        <v/>
      </c>
      <c r="S67" s="262" t="str">
        <f t="shared" si="43"/>
        <v/>
      </c>
      <c r="T67" s="262" t="str">
        <f t="shared" si="44"/>
        <v/>
      </c>
      <c r="U67" s="264" t="str">
        <f t="shared" si="45"/>
        <v/>
      </c>
    </row>
    <row r="68" spans="1:21" x14ac:dyDescent="0.3">
      <c r="A68" s="263">
        <f>3</f>
        <v>3</v>
      </c>
      <c r="B68" s="38"/>
      <c r="C68" s="38"/>
      <c r="D68" s="276"/>
      <c r="E68" s="277"/>
      <c r="F68" s="38"/>
      <c r="G68" s="38"/>
      <c r="H68" s="261">
        <f t="shared" si="46"/>
        <v>0</v>
      </c>
      <c r="I68" s="260">
        <f t="shared" si="47"/>
        <v>0</v>
      </c>
      <c r="J68" s="260">
        <f t="shared" si="35"/>
        <v>0</v>
      </c>
      <c r="K68" s="260">
        <f t="shared" si="36"/>
        <v>0</v>
      </c>
      <c r="L68" s="261">
        <f t="shared" si="37"/>
        <v>0</v>
      </c>
      <c r="M68" s="262">
        <f t="shared" si="38"/>
        <v>0</v>
      </c>
      <c r="N68" s="262">
        <f t="shared" si="48"/>
        <v>0</v>
      </c>
      <c r="O68" s="262" t="e">
        <f t="shared" si="40"/>
        <v>#DIV/0!</v>
      </c>
      <c r="P68" s="262" t="e">
        <f t="shared" si="49"/>
        <v>#DIV/0!</v>
      </c>
      <c r="Q68" s="258"/>
      <c r="R68" s="262" t="str">
        <f t="shared" si="42"/>
        <v/>
      </c>
      <c r="S68" s="262" t="str">
        <f t="shared" si="43"/>
        <v/>
      </c>
      <c r="T68" s="262" t="str">
        <f t="shared" si="44"/>
        <v/>
      </c>
      <c r="U68" s="264" t="str">
        <f t="shared" si="45"/>
        <v/>
      </c>
    </row>
    <row r="69" spans="1:21" x14ac:dyDescent="0.3">
      <c r="A69" s="263">
        <f>3</f>
        <v>3</v>
      </c>
      <c r="B69" s="38"/>
      <c r="C69" s="38"/>
      <c r="D69" s="276"/>
      <c r="E69" s="277"/>
      <c r="F69" s="38"/>
      <c r="G69" s="38"/>
      <c r="H69" s="261">
        <f t="shared" si="46"/>
        <v>0</v>
      </c>
      <c r="I69" s="260">
        <f t="shared" si="47"/>
        <v>0</v>
      </c>
      <c r="J69" s="260">
        <f t="shared" si="35"/>
        <v>0</v>
      </c>
      <c r="K69" s="260">
        <f t="shared" si="36"/>
        <v>0</v>
      </c>
      <c r="L69" s="261">
        <f t="shared" si="37"/>
        <v>0</v>
      </c>
      <c r="M69" s="262">
        <f t="shared" si="38"/>
        <v>0</v>
      </c>
      <c r="N69" s="262">
        <f t="shared" si="48"/>
        <v>0</v>
      </c>
      <c r="O69" s="262" t="e">
        <f t="shared" si="40"/>
        <v>#DIV/0!</v>
      </c>
      <c r="P69" s="262" t="e">
        <f t="shared" si="49"/>
        <v>#DIV/0!</v>
      </c>
      <c r="Q69" s="258"/>
      <c r="R69" s="262" t="str">
        <f t="shared" si="42"/>
        <v/>
      </c>
      <c r="S69" s="262" t="str">
        <f t="shared" si="43"/>
        <v/>
      </c>
      <c r="T69" s="262" t="str">
        <f t="shared" si="44"/>
        <v/>
      </c>
      <c r="U69" s="264" t="str">
        <f t="shared" si="45"/>
        <v/>
      </c>
    </row>
    <row r="70" spans="1:21" x14ac:dyDescent="0.3">
      <c r="A70" s="263">
        <f>3</f>
        <v>3</v>
      </c>
      <c r="B70" s="38"/>
      <c r="C70" s="38"/>
      <c r="D70" s="276"/>
      <c r="E70" s="277"/>
      <c r="F70" s="38"/>
      <c r="G70" s="38"/>
      <c r="H70" s="261">
        <f t="shared" si="46"/>
        <v>0</v>
      </c>
      <c r="I70" s="260">
        <f t="shared" si="47"/>
        <v>0</v>
      </c>
      <c r="J70" s="260">
        <f t="shared" si="35"/>
        <v>0</v>
      </c>
      <c r="K70" s="260">
        <f t="shared" si="36"/>
        <v>0</v>
      </c>
      <c r="L70" s="261">
        <f t="shared" si="37"/>
        <v>0</v>
      </c>
      <c r="M70" s="262">
        <f t="shared" si="38"/>
        <v>0</v>
      </c>
      <c r="N70" s="262">
        <f t="shared" si="48"/>
        <v>0</v>
      </c>
      <c r="O70" s="262" t="e">
        <f t="shared" si="40"/>
        <v>#DIV/0!</v>
      </c>
      <c r="P70" s="262" t="e">
        <f t="shared" si="49"/>
        <v>#DIV/0!</v>
      </c>
      <c r="Q70" s="258"/>
      <c r="R70" s="262" t="str">
        <f t="shared" si="42"/>
        <v/>
      </c>
      <c r="S70" s="262" t="str">
        <f t="shared" si="43"/>
        <v/>
      </c>
      <c r="T70" s="262" t="str">
        <f t="shared" si="44"/>
        <v/>
      </c>
      <c r="U70" s="264" t="str">
        <f t="shared" si="45"/>
        <v/>
      </c>
    </row>
    <row r="71" spans="1:21" x14ac:dyDescent="0.3">
      <c r="B71" s="4" t="s">
        <v>139</v>
      </c>
      <c r="C71" s="253">
        <f>COUNT(B61:B70)</f>
        <v>0</v>
      </c>
      <c r="D71" s="4"/>
      <c r="F71" s="28"/>
      <c r="G71" s="28"/>
      <c r="H71" s="28"/>
      <c r="I71" s="72"/>
      <c r="J71" s="28"/>
      <c r="K71" s="28"/>
      <c r="L71" s="72"/>
      <c r="O71" s="254" t="e">
        <f>SUM(O61:O70)</f>
        <v>#DIV/0!</v>
      </c>
      <c r="P71" s="254" t="e">
        <f>SUM(P61:P70)</f>
        <v>#DIV/0!</v>
      </c>
      <c r="R71" s="254">
        <f>SUM(R61:R70)</f>
        <v>0</v>
      </c>
      <c r="S71" s="256">
        <f>SUM(S61:S70)</f>
        <v>0</v>
      </c>
      <c r="T71" s="256">
        <f>SUM(T61:T70)</f>
        <v>0</v>
      </c>
      <c r="U71" s="256">
        <f>SUM(U61:U70)</f>
        <v>0</v>
      </c>
    </row>
    <row r="72" spans="1:21" x14ac:dyDescent="0.3">
      <c r="T72" s="128"/>
      <c r="U72" s="128"/>
    </row>
    <row r="73" spans="1:21" x14ac:dyDescent="0.3">
      <c r="T73" s="128"/>
      <c r="U73" s="128"/>
    </row>
    <row r="74" spans="1:21" x14ac:dyDescent="0.3">
      <c r="T74" s="128"/>
      <c r="U74" s="128"/>
    </row>
    <row r="75" spans="1:21" x14ac:dyDescent="0.3">
      <c r="T75" s="128"/>
      <c r="U75" s="128"/>
    </row>
    <row r="76" spans="1:21" x14ac:dyDescent="0.3">
      <c r="A76" s="3"/>
      <c r="C76" s="119" t="s">
        <v>826</v>
      </c>
      <c r="D76" s="252"/>
      <c r="E76" s="279"/>
      <c r="F76" s="251" t="s">
        <v>825</v>
      </c>
      <c r="G76" s="87"/>
      <c r="H76" s="95"/>
      <c r="I76" s="251" t="s">
        <v>802</v>
      </c>
      <c r="J76" s="87"/>
      <c r="K76" s="4"/>
      <c r="L76" s="33"/>
      <c r="M76" s="72"/>
      <c r="N76" s="270"/>
      <c r="O76" s="119" t="s">
        <v>803</v>
      </c>
      <c r="P76" s="271"/>
      <c r="R76" s="35"/>
      <c r="S76" s="243" t="s">
        <v>827</v>
      </c>
      <c r="T76" s="259"/>
      <c r="U76" s="255"/>
    </row>
    <row r="77" spans="1:21" ht="34.5" x14ac:dyDescent="0.3">
      <c r="A77" s="273" t="s">
        <v>135</v>
      </c>
      <c r="B77" s="269" t="s">
        <v>143</v>
      </c>
      <c r="C77" s="272" t="s">
        <v>412</v>
      </c>
      <c r="D77" s="274" t="s">
        <v>1031</v>
      </c>
      <c r="E77" s="275" t="s">
        <v>157</v>
      </c>
      <c r="F77" s="269" t="s">
        <v>1029</v>
      </c>
      <c r="G77" s="269" t="s">
        <v>1030</v>
      </c>
      <c r="H77" s="269" t="s">
        <v>413</v>
      </c>
      <c r="I77" s="269" t="s">
        <v>414</v>
      </c>
      <c r="J77" s="269" t="s">
        <v>415</v>
      </c>
      <c r="K77" s="269" t="s">
        <v>795</v>
      </c>
      <c r="L77" s="269" t="s">
        <v>153</v>
      </c>
      <c r="M77" s="269" t="s">
        <v>416</v>
      </c>
      <c r="N77" s="269" t="s">
        <v>796</v>
      </c>
      <c r="O77" s="269" t="s">
        <v>159</v>
      </c>
      <c r="P77" s="269" t="s">
        <v>160</v>
      </c>
      <c r="Q77" s="257" t="s">
        <v>824</v>
      </c>
      <c r="R77" s="269" t="s">
        <v>137</v>
      </c>
      <c r="S77" s="269" t="s">
        <v>138</v>
      </c>
      <c r="T77" s="269" t="s">
        <v>161</v>
      </c>
      <c r="U77" s="269" t="s">
        <v>162</v>
      </c>
    </row>
    <row r="78" spans="1:21" x14ac:dyDescent="0.3">
      <c r="A78" s="263">
        <f>4</f>
        <v>4</v>
      </c>
      <c r="B78" s="38"/>
      <c r="C78" s="38"/>
      <c r="D78" s="276"/>
      <c r="E78" s="277"/>
      <c r="F78" s="38"/>
      <c r="G78" s="38"/>
      <c r="H78" s="261">
        <f t="shared" ref="H78" si="50">D78*0.5</f>
        <v>0</v>
      </c>
      <c r="I78" s="260">
        <f t="shared" ref="I78" si="51">(3.14*(H78*H78)*C78)/1000</f>
        <v>0</v>
      </c>
      <c r="J78" s="260">
        <f t="shared" ref="J78:J87" si="52">((PI()*(F78*0.5)*(G78*0.5)*E78)/3)/1000</f>
        <v>0</v>
      </c>
      <c r="K78" s="260">
        <f t="shared" ref="K78:K87" si="53">I78+J78</f>
        <v>0</v>
      </c>
      <c r="L78" s="261">
        <f t="shared" ref="L78:L87" si="54">IF(B78=1,$G$11,IF(B78=2,$G$12,IF(B78=3,$G$13,IF(B78=4,$G$14,))))</f>
        <v>0</v>
      </c>
      <c r="M78" s="262">
        <f t="shared" ref="M78:M87" si="55">IF(B78=1,$D$11,IF(B78=2,$D$12,IF(B78=3,$D$13,IF(B78=4,$D$14,))))</f>
        <v>0</v>
      </c>
      <c r="N78" s="262">
        <f t="shared" ref="N78" si="56">(K78*M78)*L78</f>
        <v>0</v>
      </c>
      <c r="O78" s="262" t="e">
        <f t="shared" ref="O78:O87" si="57">N78*(1/$B$6)</f>
        <v>#DIV/0!</v>
      </c>
      <c r="P78" s="262" t="e">
        <f t="shared" ref="P78" si="58">O78/1000</f>
        <v>#DIV/0!</v>
      </c>
      <c r="Q78" s="258"/>
      <c r="R78" s="262" t="str">
        <f t="shared" ref="R78:R87" si="59">IF(B78=1, P78,"")</f>
        <v/>
      </c>
      <c r="S78" s="262" t="str">
        <f t="shared" ref="S78:S87" si="60">IF(B78=2, P78,"")</f>
        <v/>
      </c>
      <c r="T78" s="262" t="str">
        <f t="shared" ref="T78:T87" si="61">IF(B78=3, P78,"")</f>
        <v/>
      </c>
      <c r="U78" s="264" t="str">
        <f t="shared" ref="U78:U87" si="62">IF(B78=4, P78,"")</f>
        <v/>
      </c>
    </row>
    <row r="79" spans="1:21" x14ac:dyDescent="0.3">
      <c r="A79" s="263">
        <f>4</f>
        <v>4</v>
      </c>
      <c r="B79" s="38"/>
      <c r="C79" s="38"/>
      <c r="D79" s="276"/>
      <c r="E79" s="277"/>
      <c r="F79" s="38"/>
      <c r="G79" s="38"/>
      <c r="H79" s="261">
        <f t="shared" ref="H79:H87" si="63">D79*0.5</f>
        <v>0</v>
      </c>
      <c r="I79" s="260">
        <f t="shared" ref="I79:I87" si="64">(3.14*(H79*H79)*C79)/1000</f>
        <v>0</v>
      </c>
      <c r="J79" s="260">
        <f t="shared" si="52"/>
        <v>0</v>
      </c>
      <c r="K79" s="260">
        <f t="shared" si="53"/>
        <v>0</v>
      </c>
      <c r="L79" s="261">
        <f t="shared" si="54"/>
        <v>0</v>
      </c>
      <c r="M79" s="262">
        <f t="shared" si="55"/>
        <v>0</v>
      </c>
      <c r="N79" s="262">
        <f t="shared" ref="N79:N87" si="65">(K79*M79)*L79</f>
        <v>0</v>
      </c>
      <c r="O79" s="262" t="e">
        <f t="shared" si="57"/>
        <v>#DIV/0!</v>
      </c>
      <c r="P79" s="262" t="e">
        <f t="shared" ref="P79:P87" si="66">O79/1000</f>
        <v>#DIV/0!</v>
      </c>
      <c r="Q79" s="258"/>
      <c r="R79" s="262" t="str">
        <f t="shared" si="59"/>
        <v/>
      </c>
      <c r="S79" s="262" t="str">
        <f t="shared" si="60"/>
        <v/>
      </c>
      <c r="T79" s="262" t="str">
        <f t="shared" si="61"/>
        <v/>
      </c>
      <c r="U79" s="264" t="str">
        <f t="shared" si="62"/>
        <v/>
      </c>
    </row>
    <row r="80" spans="1:21" x14ac:dyDescent="0.3">
      <c r="A80" s="263">
        <f>4</f>
        <v>4</v>
      </c>
      <c r="B80" s="38"/>
      <c r="C80" s="38"/>
      <c r="D80" s="276"/>
      <c r="E80" s="277"/>
      <c r="F80" s="38"/>
      <c r="G80" s="38"/>
      <c r="H80" s="261">
        <f t="shared" si="63"/>
        <v>0</v>
      </c>
      <c r="I80" s="260">
        <f t="shared" si="64"/>
        <v>0</v>
      </c>
      <c r="J80" s="260">
        <f t="shared" si="52"/>
        <v>0</v>
      </c>
      <c r="K80" s="260">
        <f t="shared" si="53"/>
        <v>0</v>
      </c>
      <c r="L80" s="261">
        <f t="shared" si="54"/>
        <v>0</v>
      </c>
      <c r="M80" s="262">
        <f t="shared" si="55"/>
        <v>0</v>
      </c>
      <c r="N80" s="262">
        <f t="shared" si="65"/>
        <v>0</v>
      </c>
      <c r="O80" s="262" t="e">
        <f t="shared" si="57"/>
        <v>#DIV/0!</v>
      </c>
      <c r="P80" s="262" t="e">
        <f t="shared" si="66"/>
        <v>#DIV/0!</v>
      </c>
      <c r="Q80" s="258"/>
      <c r="R80" s="262" t="str">
        <f t="shared" si="59"/>
        <v/>
      </c>
      <c r="S80" s="262" t="str">
        <f t="shared" si="60"/>
        <v/>
      </c>
      <c r="T80" s="262" t="str">
        <f t="shared" si="61"/>
        <v/>
      </c>
      <c r="U80" s="264" t="str">
        <f t="shared" si="62"/>
        <v/>
      </c>
    </row>
    <row r="81" spans="1:21" x14ac:dyDescent="0.3">
      <c r="A81" s="263">
        <f>4</f>
        <v>4</v>
      </c>
      <c r="B81" s="38"/>
      <c r="C81" s="38"/>
      <c r="D81" s="276"/>
      <c r="E81" s="277"/>
      <c r="F81" s="38"/>
      <c r="G81" s="38"/>
      <c r="H81" s="261">
        <f t="shared" si="63"/>
        <v>0</v>
      </c>
      <c r="I81" s="260">
        <f t="shared" si="64"/>
        <v>0</v>
      </c>
      <c r="J81" s="260">
        <f t="shared" si="52"/>
        <v>0</v>
      </c>
      <c r="K81" s="260">
        <f t="shared" si="53"/>
        <v>0</v>
      </c>
      <c r="L81" s="261">
        <f t="shared" si="54"/>
        <v>0</v>
      </c>
      <c r="M81" s="262">
        <f t="shared" si="55"/>
        <v>0</v>
      </c>
      <c r="N81" s="262">
        <f t="shared" si="65"/>
        <v>0</v>
      </c>
      <c r="O81" s="262" t="e">
        <f t="shared" si="57"/>
        <v>#DIV/0!</v>
      </c>
      <c r="P81" s="262" t="e">
        <f t="shared" si="66"/>
        <v>#DIV/0!</v>
      </c>
      <c r="Q81" s="258"/>
      <c r="R81" s="262" t="str">
        <f t="shared" si="59"/>
        <v/>
      </c>
      <c r="S81" s="262" t="str">
        <f t="shared" si="60"/>
        <v/>
      </c>
      <c r="T81" s="262" t="str">
        <f t="shared" si="61"/>
        <v/>
      </c>
      <c r="U81" s="264" t="str">
        <f t="shared" si="62"/>
        <v/>
      </c>
    </row>
    <row r="82" spans="1:21" x14ac:dyDescent="0.3">
      <c r="A82" s="263">
        <f>4</f>
        <v>4</v>
      </c>
      <c r="B82" s="38"/>
      <c r="C82" s="38"/>
      <c r="D82" s="276"/>
      <c r="E82" s="277"/>
      <c r="F82" s="38"/>
      <c r="G82" s="38"/>
      <c r="H82" s="261">
        <f t="shared" si="63"/>
        <v>0</v>
      </c>
      <c r="I82" s="260">
        <f t="shared" si="64"/>
        <v>0</v>
      </c>
      <c r="J82" s="260">
        <f t="shared" si="52"/>
        <v>0</v>
      </c>
      <c r="K82" s="260">
        <f t="shared" si="53"/>
        <v>0</v>
      </c>
      <c r="L82" s="261">
        <f t="shared" si="54"/>
        <v>0</v>
      </c>
      <c r="M82" s="262">
        <f t="shared" si="55"/>
        <v>0</v>
      </c>
      <c r="N82" s="262">
        <f t="shared" si="65"/>
        <v>0</v>
      </c>
      <c r="O82" s="262" t="e">
        <f t="shared" si="57"/>
        <v>#DIV/0!</v>
      </c>
      <c r="P82" s="262" t="e">
        <f t="shared" si="66"/>
        <v>#DIV/0!</v>
      </c>
      <c r="Q82" s="258"/>
      <c r="R82" s="262" t="str">
        <f t="shared" si="59"/>
        <v/>
      </c>
      <c r="S82" s="262" t="str">
        <f t="shared" si="60"/>
        <v/>
      </c>
      <c r="T82" s="262" t="str">
        <f t="shared" si="61"/>
        <v/>
      </c>
      <c r="U82" s="264" t="str">
        <f t="shared" si="62"/>
        <v/>
      </c>
    </row>
    <row r="83" spans="1:21" x14ac:dyDescent="0.3">
      <c r="A83" s="263">
        <f>4</f>
        <v>4</v>
      </c>
      <c r="B83" s="38"/>
      <c r="C83" s="38"/>
      <c r="D83" s="276"/>
      <c r="E83" s="277"/>
      <c r="F83" s="38"/>
      <c r="G83" s="38"/>
      <c r="H83" s="261">
        <f t="shared" si="63"/>
        <v>0</v>
      </c>
      <c r="I83" s="260">
        <f t="shared" si="64"/>
        <v>0</v>
      </c>
      <c r="J83" s="260">
        <f t="shared" si="52"/>
        <v>0</v>
      </c>
      <c r="K83" s="260">
        <f t="shared" si="53"/>
        <v>0</v>
      </c>
      <c r="L83" s="261">
        <f t="shared" si="54"/>
        <v>0</v>
      </c>
      <c r="M83" s="262">
        <f t="shared" si="55"/>
        <v>0</v>
      </c>
      <c r="N83" s="262">
        <f t="shared" si="65"/>
        <v>0</v>
      </c>
      <c r="O83" s="262" t="e">
        <f t="shared" si="57"/>
        <v>#DIV/0!</v>
      </c>
      <c r="P83" s="262" t="e">
        <f t="shared" si="66"/>
        <v>#DIV/0!</v>
      </c>
      <c r="Q83" s="258"/>
      <c r="R83" s="262" t="str">
        <f t="shared" si="59"/>
        <v/>
      </c>
      <c r="S83" s="262" t="str">
        <f t="shared" si="60"/>
        <v/>
      </c>
      <c r="T83" s="262" t="str">
        <f t="shared" si="61"/>
        <v/>
      </c>
      <c r="U83" s="264" t="str">
        <f t="shared" si="62"/>
        <v/>
      </c>
    </row>
    <row r="84" spans="1:21" x14ac:dyDescent="0.3">
      <c r="A84" s="263">
        <f>4</f>
        <v>4</v>
      </c>
      <c r="B84" s="38"/>
      <c r="C84" s="38"/>
      <c r="D84" s="276"/>
      <c r="E84" s="277"/>
      <c r="F84" s="38"/>
      <c r="G84" s="38"/>
      <c r="H84" s="261">
        <f t="shared" si="63"/>
        <v>0</v>
      </c>
      <c r="I84" s="260">
        <f t="shared" si="64"/>
        <v>0</v>
      </c>
      <c r="J84" s="260">
        <f t="shared" si="52"/>
        <v>0</v>
      </c>
      <c r="K84" s="260">
        <f t="shared" si="53"/>
        <v>0</v>
      </c>
      <c r="L84" s="261">
        <f t="shared" si="54"/>
        <v>0</v>
      </c>
      <c r="M84" s="262">
        <f t="shared" si="55"/>
        <v>0</v>
      </c>
      <c r="N84" s="262">
        <f t="shared" si="65"/>
        <v>0</v>
      </c>
      <c r="O84" s="262" t="e">
        <f t="shared" si="57"/>
        <v>#DIV/0!</v>
      </c>
      <c r="P84" s="262" t="e">
        <f t="shared" si="66"/>
        <v>#DIV/0!</v>
      </c>
      <c r="Q84" s="258"/>
      <c r="R84" s="262" t="str">
        <f t="shared" si="59"/>
        <v/>
      </c>
      <c r="S84" s="262" t="str">
        <f t="shared" si="60"/>
        <v/>
      </c>
      <c r="T84" s="262" t="str">
        <f t="shared" si="61"/>
        <v/>
      </c>
      <c r="U84" s="264" t="str">
        <f t="shared" si="62"/>
        <v/>
      </c>
    </row>
    <row r="85" spans="1:21" x14ac:dyDescent="0.3">
      <c r="A85" s="263">
        <f>4</f>
        <v>4</v>
      </c>
      <c r="B85" s="38"/>
      <c r="C85" s="38"/>
      <c r="D85" s="276"/>
      <c r="E85" s="277"/>
      <c r="F85" s="38"/>
      <c r="G85" s="38"/>
      <c r="H85" s="261">
        <f t="shared" si="63"/>
        <v>0</v>
      </c>
      <c r="I85" s="260">
        <f t="shared" si="64"/>
        <v>0</v>
      </c>
      <c r="J85" s="260">
        <f t="shared" si="52"/>
        <v>0</v>
      </c>
      <c r="K85" s="260">
        <f t="shared" si="53"/>
        <v>0</v>
      </c>
      <c r="L85" s="261">
        <f t="shared" si="54"/>
        <v>0</v>
      </c>
      <c r="M85" s="262">
        <f t="shared" si="55"/>
        <v>0</v>
      </c>
      <c r="N85" s="262">
        <f t="shared" si="65"/>
        <v>0</v>
      </c>
      <c r="O85" s="262" t="e">
        <f t="shared" si="57"/>
        <v>#DIV/0!</v>
      </c>
      <c r="P85" s="262" t="e">
        <f t="shared" si="66"/>
        <v>#DIV/0!</v>
      </c>
      <c r="Q85" s="258"/>
      <c r="R85" s="262" t="str">
        <f t="shared" si="59"/>
        <v/>
      </c>
      <c r="S85" s="262" t="str">
        <f t="shared" si="60"/>
        <v/>
      </c>
      <c r="T85" s="262" t="str">
        <f t="shared" si="61"/>
        <v/>
      </c>
      <c r="U85" s="264" t="str">
        <f t="shared" si="62"/>
        <v/>
      </c>
    </row>
    <row r="86" spans="1:21" x14ac:dyDescent="0.3">
      <c r="A86" s="263">
        <f>4</f>
        <v>4</v>
      </c>
      <c r="B86" s="38"/>
      <c r="C86" s="38"/>
      <c r="D86" s="276"/>
      <c r="E86" s="277"/>
      <c r="F86" s="38"/>
      <c r="G86" s="38"/>
      <c r="H86" s="261">
        <f t="shared" si="63"/>
        <v>0</v>
      </c>
      <c r="I86" s="260">
        <f t="shared" si="64"/>
        <v>0</v>
      </c>
      <c r="J86" s="260">
        <f t="shared" si="52"/>
        <v>0</v>
      </c>
      <c r="K86" s="260">
        <f t="shared" si="53"/>
        <v>0</v>
      </c>
      <c r="L86" s="261">
        <f t="shared" si="54"/>
        <v>0</v>
      </c>
      <c r="M86" s="262">
        <f t="shared" si="55"/>
        <v>0</v>
      </c>
      <c r="N86" s="262">
        <f t="shared" si="65"/>
        <v>0</v>
      </c>
      <c r="O86" s="262" t="e">
        <f t="shared" si="57"/>
        <v>#DIV/0!</v>
      </c>
      <c r="P86" s="262" t="e">
        <f t="shared" si="66"/>
        <v>#DIV/0!</v>
      </c>
      <c r="Q86" s="258"/>
      <c r="R86" s="262" t="str">
        <f t="shared" si="59"/>
        <v/>
      </c>
      <c r="S86" s="262" t="str">
        <f t="shared" si="60"/>
        <v/>
      </c>
      <c r="T86" s="262" t="str">
        <f t="shared" si="61"/>
        <v/>
      </c>
      <c r="U86" s="264" t="str">
        <f t="shared" si="62"/>
        <v/>
      </c>
    </row>
    <row r="87" spans="1:21" x14ac:dyDescent="0.3">
      <c r="A87" s="263">
        <f>4</f>
        <v>4</v>
      </c>
      <c r="B87" s="38"/>
      <c r="C87" s="38"/>
      <c r="D87" s="276"/>
      <c r="E87" s="277"/>
      <c r="F87" s="38"/>
      <c r="G87" s="38"/>
      <c r="H87" s="261">
        <f t="shared" si="63"/>
        <v>0</v>
      </c>
      <c r="I87" s="260">
        <f t="shared" si="64"/>
        <v>0</v>
      </c>
      <c r="J87" s="260">
        <f t="shared" si="52"/>
        <v>0</v>
      </c>
      <c r="K87" s="260">
        <f t="shared" si="53"/>
        <v>0</v>
      </c>
      <c r="L87" s="261">
        <f t="shared" si="54"/>
        <v>0</v>
      </c>
      <c r="M87" s="262">
        <f t="shared" si="55"/>
        <v>0</v>
      </c>
      <c r="N87" s="262">
        <f t="shared" si="65"/>
        <v>0</v>
      </c>
      <c r="O87" s="262" t="e">
        <f t="shared" si="57"/>
        <v>#DIV/0!</v>
      </c>
      <c r="P87" s="262" t="e">
        <f t="shared" si="66"/>
        <v>#DIV/0!</v>
      </c>
      <c r="Q87" s="258"/>
      <c r="R87" s="262" t="str">
        <f t="shared" si="59"/>
        <v/>
      </c>
      <c r="S87" s="262" t="str">
        <f t="shared" si="60"/>
        <v/>
      </c>
      <c r="T87" s="262" t="str">
        <f t="shared" si="61"/>
        <v/>
      </c>
      <c r="U87" s="264" t="str">
        <f t="shared" si="62"/>
        <v/>
      </c>
    </row>
    <row r="88" spans="1:21" x14ac:dyDescent="0.3">
      <c r="B88" s="4" t="s">
        <v>139</v>
      </c>
      <c r="C88" s="253">
        <f>COUNT(B78:B87)</f>
        <v>0</v>
      </c>
      <c r="D88" s="4"/>
      <c r="F88" s="28"/>
      <c r="G88" s="28"/>
      <c r="H88" s="28"/>
      <c r="I88" s="72"/>
      <c r="J88" s="28"/>
      <c r="K88" s="28"/>
      <c r="L88" s="72"/>
      <c r="O88" s="254" t="e">
        <f>SUM(O78:O87)</f>
        <v>#DIV/0!</v>
      </c>
      <c r="P88" s="254" t="e">
        <f>SUM(P78:P87)</f>
        <v>#DIV/0!</v>
      </c>
      <c r="R88" s="254">
        <f>SUM(R78:R87)</f>
        <v>0</v>
      </c>
      <c r="S88" s="256">
        <f>SUM(S78:S87)</f>
        <v>0</v>
      </c>
      <c r="T88" s="256">
        <f>SUM(T78:T87)</f>
        <v>0</v>
      </c>
      <c r="U88" s="256">
        <f>SUM(U78:U87)</f>
        <v>0</v>
      </c>
    </row>
    <row r="89" spans="1:21" x14ac:dyDescent="0.3">
      <c r="T89" s="128"/>
      <c r="U89" s="128"/>
    </row>
    <row r="90" spans="1:21" x14ac:dyDescent="0.3">
      <c r="T90" s="128"/>
      <c r="U90" s="128"/>
    </row>
    <row r="91" spans="1:21" x14ac:dyDescent="0.3">
      <c r="T91" s="128"/>
      <c r="U91" s="128"/>
    </row>
    <row r="92" spans="1:21" x14ac:dyDescent="0.3">
      <c r="T92" s="128"/>
      <c r="U92" s="128"/>
    </row>
    <row r="93" spans="1:21" x14ac:dyDescent="0.3">
      <c r="A93" s="3"/>
      <c r="C93" s="119" t="s">
        <v>826</v>
      </c>
      <c r="D93" s="280"/>
      <c r="E93" s="279"/>
      <c r="F93" s="251" t="s">
        <v>825</v>
      </c>
      <c r="G93" s="87"/>
      <c r="H93" s="95"/>
      <c r="I93" s="251" t="s">
        <v>802</v>
      </c>
      <c r="J93" s="87"/>
      <c r="K93" s="4"/>
      <c r="L93" s="33"/>
      <c r="M93" s="72"/>
      <c r="N93" s="270"/>
      <c r="O93" s="119" t="s">
        <v>803</v>
      </c>
      <c r="P93" s="271"/>
      <c r="R93" s="35"/>
      <c r="S93" s="243" t="s">
        <v>827</v>
      </c>
      <c r="T93" s="259"/>
      <c r="U93" s="255"/>
    </row>
    <row r="94" spans="1:21" ht="34.5" x14ac:dyDescent="0.3">
      <c r="A94" s="266" t="s">
        <v>135</v>
      </c>
      <c r="B94" s="335" t="s">
        <v>143</v>
      </c>
      <c r="C94" s="272" t="s">
        <v>412</v>
      </c>
      <c r="D94" s="274" t="s">
        <v>1031</v>
      </c>
      <c r="E94" s="275" t="s">
        <v>157</v>
      </c>
      <c r="F94" s="269" t="s">
        <v>1029</v>
      </c>
      <c r="G94" s="269" t="s">
        <v>1030</v>
      </c>
      <c r="H94" s="269" t="s">
        <v>413</v>
      </c>
      <c r="I94" s="269" t="s">
        <v>414</v>
      </c>
      <c r="J94" s="269" t="s">
        <v>415</v>
      </c>
      <c r="K94" s="269" t="s">
        <v>795</v>
      </c>
      <c r="L94" s="269" t="s">
        <v>153</v>
      </c>
      <c r="M94" s="269" t="s">
        <v>416</v>
      </c>
      <c r="N94" s="269" t="s">
        <v>796</v>
      </c>
      <c r="O94" s="269" t="s">
        <v>159</v>
      </c>
      <c r="P94" s="269" t="s">
        <v>160</v>
      </c>
      <c r="Q94" s="257" t="s">
        <v>824</v>
      </c>
      <c r="R94" s="269" t="s">
        <v>137</v>
      </c>
      <c r="S94" s="269" t="s">
        <v>138</v>
      </c>
      <c r="T94" s="269" t="s">
        <v>161</v>
      </c>
      <c r="U94" s="269" t="s">
        <v>162</v>
      </c>
    </row>
    <row r="95" spans="1:21" x14ac:dyDescent="0.3">
      <c r="A95" s="263">
        <f>5</f>
        <v>5</v>
      </c>
      <c r="B95" s="38"/>
      <c r="C95" s="38"/>
      <c r="D95" s="276"/>
      <c r="E95" s="277"/>
      <c r="F95" s="38"/>
      <c r="G95" s="38"/>
      <c r="H95" s="261">
        <f t="shared" ref="H95" si="67">D95*0.5</f>
        <v>0</v>
      </c>
      <c r="I95" s="260">
        <f t="shared" ref="I95" si="68">(3.14*(H95*H95)*C95)/1000</f>
        <v>0</v>
      </c>
      <c r="J95" s="260">
        <f t="shared" ref="J95:J104" si="69">((PI()*(F95*0.5)*(G95*0.5)*E95)/3)/1000</f>
        <v>0</v>
      </c>
      <c r="K95" s="260">
        <f t="shared" ref="K95:K104" si="70">I95+J95</f>
        <v>0</v>
      </c>
      <c r="L95" s="261">
        <f t="shared" ref="L95:L104" si="71">IF(B95=1,$G$11,IF(B95=2,$G$12,IF(B95=3,$G$13,IF(B95=4,$G$14,))))</f>
        <v>0</v>
      </c>
      <c r="M95" s="262">
        <f t="shared" ref="M95:M104" si="72">IF(B95=1,$D$11,IF(B95=2,$D$12,IF(B95=3,$D$13,IF(B95=4,$D$14,))))</f>
        <v>0</v>
      </c>
      <c r="N95" s="262">
        <f t="shared" ref="N95" si="73">(K95*M95)*L95</f>
        <v>0</v>
      </c>
      <c r="O95" s="262" t="e">
        <f t="shared" ref="O95:O104" si="74">N95*(1/$B$6)</f>
        <v>#DIV/0!</v>
      </c>
      <c r="P95" s="262" t="e">
        <f t="shared" ref="P95" si="75">O95/1000</f>
        <v>#DIV/0!</v>
      </c>
      <c r="Q95" s="258"/>
      <c r="R95" s="262" t="str">
        <f t="shared" ref="R95:R104" si="76">IF(B95=1, P95,"")</f>
        <v/>
      </c>
      <c r="S95" s="262" t="str">
        <f t="shared" ref="S95:S104" si="77">IF(B95=2, P95,"")</f>
        <v/>
      </c>
      <c r="T95" s="262" t="str">
        <f t="shared" ref="T95:T104" si="78">IF(B95=3, P95,"")</f>
        <v/>
      </c>
      <c r="U95" s="264" t="str">
        <f t="shared" ref="U95:U104" si="79">IF(B95=4, P95,"")</f>
        <v/>
      </c>
    </row>
    <row r="96" spans="1:21" x14ac:dyDescent="0.3">
      <c r="A96" s="263">
        <f>5</f>
        <v>5</v>
      </c>
      <c r="B96" s="38"/>
      <c r="C96" s="38"/>
      <c r="D96" s="276"/>
      <c r="E96" s="277"/>
      <c r="F96" s="38"/>
      <c r="G96" s="38"/>
      <c r="H96" s="261">
        <f t="shared" ref="H96:H104" si="80">D96*0.5</f>
        <v>0</v>
      </c>
      <c r="I96" s="260">
        <f t="shared" ref="I96:I104" si="81">(3.14*(H96*H96)*C96)/1000</f>
        <v>0</v>
      </c>
      <c r="J96" s="260">
        <f t="shared" si="69"/>
        <v>0</v>
      </c>
      <c r="K96" s="260">
        <f t="shared" si="70"/>
        <v>0</v>
      </c>
      <c r="L96" s="261">
        <f t="shared" si="71"/>
        <v>0</v>
      </c>
      <c r="M96" s="262">
        <f t="shared" si="72"/>
        <v>0</v>
      </c>
      <c r="N96" s="262">
        <f t="shared" ref="N96:N104" si="82">(K96*M96)*L96</f>
        <v>0</v>
      </c>
      <c r="O96" s="262" t="e">
        <f t="shared" si="74"/>
        <v>#DIV/0!</v>
      </c>
      <c r="P96" s="262" t="e">
        <f t="shared" ref="P96:P104" si="83">O96/1000</f>
        <v>#DIV/0!</v>
      </c>
      <c r="Q96" s="258"/>
      <c r="R96" s="262" t="str">
        <f t="shared" si="76"/>
        <v/>
      </c>
      <c r="S96" s="262" t="str">
        <f t="shared" si="77"/>
        <v/>
      </c>
      <c r="T96" s="262" t="str">
        <f t="shared" si="78"/>
        <v/>
      </c>
      <c r="U96" s="264" t="str">
        <f t="shared" si="79"/>
        <v/>
      </c>
    </row>
    <row r="97" spans="1:21" x14ac:dyDescent="0.3">
      <c r="A97" s="263">
        <f>5</f>
        <v>5</v>
      </c>
      <c r="B97" s="38"/>
      <c r="C97" s="38"/>
      <c r="D97" s="276"/>
      <c r="E97" s="277"/>
      <c r="F97" s="38"/>
      <c r="G97" s="38"/>
      <c r="H97" s="261">
        <f t="shared" si="80"/>
        <v>0</v>
      </c>
      <c r="I97" s="260">
        <f t="shared" si="81"/>
        <v>0</v>
      </c>
      <c r="J97" s="260">
        <f t="shared" si="69"/>
        <v>0</v>
      </c>
      <c r="K97" s="260">
        <f t="shared" si="70"/>
        <v>0</v>
      </c>
      <c r="L97" s="261">
        <f t="shared" si="71"/>
        <v>0</v>
      </c>
      <c r="M97" s="262">
        <f t="shared" si="72"/>
        <v>0</v>
      </c>
      <c r="N97" s="262">
        <f t="shared" si="82"/>
        <v>0</v>
      </c>
      <c r="O97" s="262" t="e">
        <f t="shared" si="74"/>
        <v>#DIV/0!</v>
      </c>
      <c r="P97" s="262" t="e">
        <f t="shared" si="83"/>
        <v>#DIV/0!</v>
      </c>
      <c r="Q97" s="258"/>
      <c r="R97" s="262" t="str">
        <f t="shared" si="76"/>
        <v/>
      </c>
      <c r="S97" s="262" t="str">
        <f t="shared" si="77"/>
        <v/>
      </c>
      <c r="T97" s="262" t="str">
        <f t="shared" si="78"/>
        <v/>
      </c>
      <c r="U97" s="264" t="str">
        <f t="shared" si="79"/>
        <v/>
      </c>
    </row>
    <row r="98" spans="1:21" x14ac:dyDescent="0.3">
      <c r="A98" s="263">
        <f>5</f>
        <v>5</v>
      </c>
      <c r="B98" s="38"/>
      <c r="C98" s="38"/>
      <c r="D98" s="276"/>
      <c r="E98" s="277"/>
      <c r="F98" s="38"/>
      <c r="G98" s="38"/>
      <c r="H98" s="261">
        <f t="shared" si="80"/>
        <v>0</v>
      </c>
      <c r="I98" s="260">
        <f t="shared" si="81"/>
        <v>0</v>
      </c>
      <c r="J98" s="260">
        <f t="shared" si="69"/>
        <v>0</v>
      </c>
      <c r="K98" s="260">
        <f t="shared" si="70"/>
        <v>0</v>
      </c>
      <c r="L98" s="261">
        <f t="shared" si="71"/>
        <v>0</v>
      </c>
      <c r="M98" s="262">
        <f t="shared" si="72"/>
        <v>0</v>
      </c>
      <c r="N98" s="262">
        <f t="shared" si="82"/>
        <v>0</v>
      </c>
      <c r="O98" s="262" t="e">
        <f t="shared" si="74"/>
        <v>#DIV/0!</v>
      </c>
      <c r="P98" s="262" t="e">
        <f t="shared" si="83"/>
        <v>#DIV/0!</v>
      </c>
      <c r="Q98" s="258"/>
      <c r="R98" s="262" t="str">
        <f t="shared" si="76"/>
        <v/>
      </c>
      <c r="S98" s="262" t="str">
        <f t="shared" si="77"/>
        <v/>
      </c>
      <c r="T98" s="262" t="str">
        <f t="shared" si="78"/>
        <v/>
      </c>
      <c r="U98" s="264" t="str">
        <f t="shared" si="79"/>
        <v/>
      </c>
    </row>
    <row r="99" spans="1:21" x14ac:dyDescent="0.3">
      <c r="A99" s="263">
        <f>5</f>
        <v>5</v>
      </c>
      <c r="B99" s="38"/>
      <c r="C99" s="38"/>
      <c r="D99" s="276"/>
      <c r="E99" s="277"/>
      <c r="F99" s="38"/>
      <c r="G99" s="38"/>
      <c r="H99" s="261">
        <f t="shared" si="80"/>
        <v>0</v>
      </c>
      <c r="I99" s="260">
        <f t="shared" si="81"/>
        <v>0</v>
      </c>
      <c r="J99" s="260">
        <f t="shared" si="69"/>
        <v>0</v>
      </c>
      <c r="K99" s="260">
        <f t="shared" si="70"/>
        <v>0</v>
      </c>
      <c r="L99" s="261">
        <f t="shared" si="71"/>
        <v>0</v>
      </c>
      <c r="M99" s="262">
        <f t="shared" si="72"/>
        <v>0</v>
      </c>
      <c r="N99" s="262">
        <f t="shared" si="82"/>
        <v>0</v>
      </c>
      <c r="O99" s="262" t="e">
        <f t="shared" si="74"/>
        <v>#DIV/0!</v>
      </c>
      <c r="P99" s="262" t="e">
        <f t="shared" si="83"/>
        <v>#DIV/0!</v>
      </c>
      <c r="Q99" s="258"/>
      <c r="R99" s="262" t="str">
        <f t="shared" si="76"/>
        <v/>
      </c>
      <c r="S99" s="262" t="str">
        <f t="shared" si="77"/>
        <v/>
      </c>
      <c r="T99" s="262" t="str">
        <f t="shared" si="78"/>
        <v/>
      </c>
      <c r="U99" s="264" t="str">
        <f t="shared" si="79"/>
        <v/>
      </c>
    </row>
    <row r="100" spans="1:21" x14ac:dyDescent="0.3">
      <c r="A100" s="263">
        <f>5</f>
        <v>5</v>
      </c>
      <c r="B100" s="38"/>
      <c r="C100" s="38"/>
      <c r="D100" s="276"/>
      <c r="E100" s="277"/>
      <c r="F100" s="38"/>
      <c r="G100" s="38"/>
      <c r="H100" s="261">
        <f t="shared" si="80"/>
        <v>0</v>
      </c>
      <c r="I100" s="260">
        <f t="shared" si="81"/>
        <v>0</v>
      </c>
      <c r="J100" s="260">
        <f t="shared" si="69"/>
        <v>0</v>
      </c>
      <c r="K100" s="260">
        <f t="shared" si="70"/>
        <v>0</v>
      </c>
      <c r="L100" s="261">
        <f t="shared" si="71"/>
        <v>0</v>
      </c>
      <c r="M100" s="262">
        <f t="shared" si="72"/>
        <v>0</v>
      </c>
      <c r="N100" s="262">
        <f t="shared" si="82"/>
        <v>0</v>
      </c>
      <c r="O100" s="262" t="e">
        <f t="shared" si="74"/>
        <v>#DIV/0!</v>
      </c>
      <c r="P100" s="262" t="e">
        <f t="shared" si="83"/>
        <v>#DIV/0!</v>
      </c>
      <c r="Q100" s="258"/>
      <c r="R100" s="262" t="str">
        <f t="shared" si="76"/>
        <v/>
      </c>
      <c r="S100" s="262" t="str">
        <f t="shared" si="77"/>
        <v/>
      </c>
      <c r="T100" s="262" t="str">
        <f t="shared" si="78"/>
        <v/>
      </c>
      <c r="U100" s="264" t="str">
        <f t="shared" si="79"/>
        <v/>
      </c>
    </row>
    <row r="101" spans="1:21" x14ac:dyDescent="0.3">
      <c r="A101" s="263">
        <f>5</f>
        <v>5</v>
      </c>
      <c r="B101" s="38"/>
      <c r="C101" s="38"/>
      <c r="D101" s="276"/>
      <c r="E101" s="277"/>
      <c r="F101" s="38"/>
      <c r="G101" s="38"/>
      <c r="H101" s="261">
        <f t="shared" si="80"/>
        <v>0</v>
      </c>
      <c r="I101" s="260">
        <f t="shared" si="81"/>
        <v>0</v>
      </c>
      <c r="J101" s="260">
        <f t="shared" si="69"/>
        <v>0</v>
      </c>
      <c r="K101" s="260">
        <f t="shared" si="70"/>
        <v>0</v>
      </c>
      <c r="L101" s="261">
        <f t="shared" si="71"/>
        <v>0</v>
      </c>
      <c r="M101" s="262">
        <f t="shared" si="72"/>
        <v>0</v>
      </c>
      <c r="N101" s="262">
        <f t="shared" si="82"/>
        <v>0</v>
      </c>
      <c r="O101" s="262" t="e">
        <f t="shared" si="74"/>
        <v>#DIV/0!</v>
      </c>
      <c r="P101" s="262" t="e">
        <f t="shared" si="83"/>
        <v>#DIV/0!</v>
      </c>
      <c r="Q101" s="258"/>
      <c r="R101" s="262" t="str">
        <f t="shared" si="76"/>
        <v/>
      </c>
      <c r="S101" s="262" t="str">
        <f t="shared" si="77"/>
        <v/>
      </c>
      <c r="T101" s="262" t="str">
        <f t="shared" si="78"/>
        <v/>
      </c>
      <c r="U101" s="264" t="str">
        <f t="shared" si="79"/>
        <v/>
      </c>
    </row>
    <row r="102" spans="1:21" x14ac:dyDescent="0.3">
      <c r="A102" s="263">
        <f>5</f>
        <v>5</v>
      </c>
      <c r="B102" s="38"/>
      <c r="C102" s="38"/>
      <c r="D102" s="276"/>
      <c r="E102" s="277"/>
      <c r="F102" s="38"/>
      <c r="G102" s="38"/>
      <c r="H102" s="261">
        <f t="shared" si="80"/>
        <v>0</v>
      </c>
      <c r="I102" s="260">
        <f t="shared" si="81"/>
        <v>0</v>
      </c>
      <c r="J102" s="260">
        <f t="shared" si="69"/>
        <v>0</v>
      </c>
      <c r="K102" s="260">
        <f t="shared" si="70"/>
        <v>0</v>
      </c>
      <c r="L102" s="261">
        <f t="shared" si="71"/>
        <v>0</v>
      </c>
      <c r="M102" s="262">
        <f t="shared" si="72"/>
        <v>0</v>
      </c>
      <c r="N102" s="262">
        <f t="shared" si="82"/>
        <v>0</v>
      </c>
      <c r="O102" s="262" t="e">
        <f t="shared" si="74"/>
        <v>#DIV/0!</v>
      </c>
      <c r="P102" s="262" t="e">
        <f t="shared" si="83"/>
        <v>#DIV/0!</v>
      </c>
      <c r="Q102" s="258"/>
      <c r="R102" s="262" t="str">
        <f t="shared" si="76"/>
        <v/>
      </c>
      <c r="S102" s="262" t="str">
        <f t="shared" si="77"/>
        <v/>
      </c>
      <c r="T102" s="262" t="str">
        <f t="shared" si="78"/>
        <v/>
      </c>
      <c r="U102" s="264" t="str">
        <f t="shared" si="79"/>
        <v/>
      </c>
    </row>
    <row r="103" spans="1:21" x14ac:dyDescent="0.3">
      <c r="A103" s="263">
        <f>5</f>
        <v>5</v>
      </c>
      <c r="B103" s="38"/>
      <c r="C103" s="38"/>
      <c r="D103" s="276"/>
      <c r="E103" s="277"/>
      <c r="F103" s="38"/>
      <c r="G103" s="38"/>
      <c r="H103" s="261">
        <f t="shared" si="80"/>
        <v>0</v>
      </c>
      <c r="I103" s="260">
        <f t="shared" si="81"/>
        <v>0</v>
      </c>
      <c r="J103" s="260">
        <f t="shared" si="69"/>
        <v>0</v>
      </c>
      <c r="K103" s="260">
        <f t="shared" si="70"/>
        <v>0</v>
      </c>
      <c r="L103" s="261">
        <f t="shared" si="71"/>
        <v>0</v>
      </c>
      <c r="M103" s="262">
        <f t="shared" si="72"/>
        <v>0</v>
      </c>
      <c r="N103" s="262">
        <f t="shared" si="82"/>
        <v>0</v>
      </c>
      <c r="O103" s="262" t="e">
        <f t="shared" si="74"/>
        <v>#DIV/0!</v>
      </c>
      <c r="P103" s="262" t="e">
        <f t="shared" si="83"/>
        <v>#DIV/0!</v>
      </c>
      <c r="Q103" s="258"/>
      <c r="R103" s="262" t="str">
        <f t="shared" si="76"/>
        <v/>
      </c>
      <c r="S103" s="262" t="str">
        <f t="shared" si="77"/>
        <v/>
      </c>
      <c r="T103" s="262" t="str">
        <f t="shared" si="78"/>
        <v/>
      </c>
      <c r="U103" s="264" t="str">
        <f t="shared" si="79"/>
        <v/>
      </c>
    </row>
    <row r="104" spans="1:21" x14ac:dyDescent="0.3">
      <c r="A104" s="263">
        <f>5</f>
        <v>5</v>
      </c>
      <c r="B104" s="38"/>
      <c r="C104" s="38"/>
      <c r="D104" s="276"/>
      <c r="E104" s="277"/>
      <c r="F104" s="38"/>
      <c r="G104" s="38"/>
      <c r="H104" s="261">
        <f t="shared" si="80"/>
        <v>0</v>
      </c>
      <c r="I104" s="260">
        <f t="shared" si="81"/>
        <v>0</v>
      </c>
      <c r="J104" s="260">
        <f t="shared" si="69"/>
        <v>0</v>
      </c>
      <c r="K104" s="260">
        <f t="shared" si="70"/>
        <v>0</v>
      </c>
      <c r="L104" s="261">
        <f t="shared" si="71"/>
        <v>0</v>
      </c>
      <c r="M104" s="262">
        <f t="shared" si="72"/>
        <v>0</v>
      </c>
      <c r="N104" s="262">
        <f t="shared" si="82"/>
        <v>0</v>
      </c>
      <c r="O104" s="262" t="e">
        <f t="shared" si="74"/>
        <v>#DIV/0!</v>
      </c>
      <c r="P104" s="262" t="e">
        <f t="shared" si="83"/>
        <v>#DIV/0!</v>
      </c>
      <c r="Q104" s="258"/>
      <c r="R104" s="262" t="str">
        <f t="shared" si="76"/>
        <v/>
      </c>
      <c r="S104" s="262" t="str">
        <f t="shared" si="77"/>
        <v/>
      </c>
      <c r="T104" s="262" t="str">
        <f t="shared" si="78"/>
        <v/>
      </c>
      <c r="U104" s="264" t="str">
        <f t="shared" si="79"/>
        <v/>
      </c>
    </row>
    <row r="105" spans="1:21" x14ac:dyDescent="0.3">
      <c r="B105" s="4" t="s">
        <v>139</v>
      </c>
      <c r="C105" s="253">
        <f>COUNT(B95:B104)</f>
        <v>0</v>
      </c>
      <c r="D105" s="4"/>
      <c r="F105" s="28"/>
      <c r="G105" s="28"/>
      <c r="H105" s="28"/>
      <c r="I105" s="72"/>
      <c r="J105" s="72"/>
      <c r="K105" s="36"/>
      <c r="L105" s="12"/>
      <c r="M105" s="93"/>
      <c r="N105" s="93"/>
      <c r="O105" s="254" t="e">
        <f>SUM(O95:O104)</f>
        <v>#DIV/0!</v>
      </c>
      <c r="P105" s="254" t="e">
        <f>SUM(P95:P104)</f>
        <v>#DIV/0!</v>
      </c>
      <c r="Q105" s="26"/>
      <c r="R105" s="254">
        <f>SUM(R95:R104)</f>
        <v>0</v>
      </c>
      <c r="S105" s="256">
        <f>SUM(S95:S104)</f>
        <v>0</v>
      </c>
      <c r="T105" s="256">
        <f>SUM(T95:T104)</f>
        <v>0</v>
      </c>
      <c r="U105" s="256">
        <f>SUM(U95:U104)</f>
        <v>0</v>
      </c>
    </row>
    <row r="106" spans="1:21" x14ac:dyDescent="0.3">
      <c r="T106" s="128"/>
      <c r="U106" s="128"/>
    </row>
    <row r="107" spans="1:21" x14ac:dyDescent="0.3">
      <c r="T107" s="128"/>
      <c r="U107" s="128"/>
    </row>
    <row r="108" spans="1:21" x14ac:dyDescent="0.3">
      <c r="T108" s="128"/>
      <c r="U108" s="128"/>
    </row>
    <row r="109" spans="1:21" x14ac:dyDescent="0.3">
      <c r="T109" s="128"/>
      <c r="U109" s="128"/>
    </row>
    <row r="110" spans="1:21" x14ac:dyDescent="0.3">
      <c r="A110" s="3"/>
      <c r="C110" s="119" t="s">
        <v>826</v>
      </c>
      <c r="D110" s="280"/>
      <c r="E110" s="279"/>
      <c r="F110" s="251" t="s">
        <v>825</v>
      </c>
      <c r="G110" s="87"/>
      <c r="H110" s="95"/>
      <c r="I110" s="251" t="s">
        <v>802</v>
      </c>
      <c r="J110" s="87"/>
      <c r="K110" s="4"/>
      <c r="L110" s="33"/>
      <c r="M110" s="72"/>
      <c r="N110" s="270"/>
      <c r="O110" s="119" t="s">
        <v>803</v>
      </c>
      <c r="P110" s="271"/>
      <c r="R110" s="35"/>
      <c r="S110" s="243" t="s">
        <v>827</v>
      </c>
      <c r="T110" s="259"/>
      <c r="U110" s="255"/>
    </row>
    <row r="111" spans="1:21" ht="34.5" x14ac:dyDescent="0.3">
      <c r="A111" s="266" t="s">
        <v>135</v>
      </c>
      <c r="B111" s="335" t="s">
        <v>143</v>
      </c>
      <c r="C111" s="272" t="s">
        <v>412</v>
      </c>
      <c r="D111" s="274" t="s">
        <v>1031</v>
      </c>
      <c r="E111" s="275" t="s">
        <v>157</v>
      </c>
      <c r="F111" s="269" t="s">
        <v>1029</v>
      </c>
      <c r="G111" s="269" t="s">
        <v>1030</v>
      </c>
      <c r="H111" s="269" t="s">
        <v>413</v>
      </c>
      <c r="I111" s="269" t="s">
        <v>414</v>
      </c>
      <c r="J111" s="269" t="s">
        <v>415</v>
      </c>
      <c r="K111" s="269" t="s">
        <v>795</v>
      </c>
      <c r="L111" s="269" t="s">
        <v>153</v>
      </c>
      <c r="M111" s="269" t="s">
        <v>416</v>
      </c>
      <c r="N111" s="269" t="s">
        <v>796</v>
      </c>
      <c r="O111" s="269" t="s">
        <v>159</v>
      </c>
      <c r="P111" s="269" t="s">
        <v>160</v>
      </c>
      <c r="Q111" s="257" t="s">
        <v>824</v>
      </c>
      <c r="R111" s="269" t="s">
        <v>137</v>
      </c>
      <c r="S111" s="269" t="s">
        <v>138</v>
      </c>
      <c r="T111" s="269" t="s">
        <v>161</v>
      </c>
      <c r="U111" s="269" t="s">
        <v>162</v>
      </c>
    </row>
    <row r="112" spans="1:21" x14ac:dyDescent="0.3">
      <c r="A112" s="263">
        <f>6</f>
        <v>6</v>
      </c>
      <c r="B112" s="38"/>
      <c r="C112" s="38"/>
      <c r="D112" s="276"/>
      <c r="E112" s="277"/>
      <c r="F112" s="38"/>
      <c r="G112" s="38"/>
      <c r="H112" s="261">
        <f t="shared" ref="H112" si="84">D112*0.5</f>
        <v>0</v>
      </c>
      <c r="I112" s="260">
        <f t="shared" ref="I112" si="85">(3.14*(H112*H112)*C112)/1000</f>
        <v>0</v>
      </c>
      <c r="J112" s="260">
        <f t="shared" ref="J112:J121" si="86">((PI()*(F112*0.5)*(G112*0.5)*E112)/3)/1000</f>
        <v>0</v>
      </c>
      <c r="K112" s="260">
        <f t="shared" ref="K112:K121" si="87">I112+J112</f>
        <v>0</v>
      </c>
      <c r="L112" s="261">
        <f t="shared" ref="L112:L121" si="88">IF(B112=1,$G$11,IF(B112=2,$G$12,IF(B112=3,$G$13,IF(B112=4,$G$14,))))</f>
        <v>0</v>
      </c>
      <c r="M112" s="262">
        <f t="shared" ref="M112:M121" si="89">IF(B112=1,$D$11,IF(B112=2,$D$12,IF(B112=3,$D$13,IF(B112=4,$D$14,))))</f>
        <v>0</v>
      </c>
      <c r="N112" s="262">
        <f t="shared" ref="N112" si="90">(K112*M112)*L112</f>
        <v>0</v>
      </c>
      <c r="O112" s="262" t="e">
        <f t="shared" ref="O112:O121" si="91">N112*(1/$B$6)</f>
        <v>#DIV/0!</v>
      </c>
      <c r="P112" s="262" t="e">
        <f t="shared" ref="P112" si="92">O112/1000</f>
        <v>#DIV/0!</v>
      </c>
      <c r="Q112" s="258"/>
      <c r="R112" s="262" t="str">
        <f t="shared" ref="R112:R121" si="93">IF(B112=1, P112,"")</f>
        <v/>
      </c>
      <c r="S112" s="262" t="str">
        <f t="shared" ref="S112:S121" si="94">IF(B112=2, P112,"")</f>
        <v/>
      </c>
      <c r="T112" s="262" t="str">
        <f t="shared" ref="T112:T121" si="95">IF(B112=3, P112,"")</f>
        <v/>
      </c>
      <c r="U112" s="264" t="str">
        <f t="shared" ref="U112:U121" si="96">IF(B112=4, P112,"")</f>
        <v/>
      </c>
    </row>
    <row r="113" spans="1:21" x14ac:dyDescent="0.3">
      <c r="A113" s="263">
        <f>6</f>
        <v>6</v>
      </c>
      <c r="B113" s="38"/>
      <c r="C113" s="38"/>
      <c r="D113" s="276"/>
      <c r="E113" s="277"/>
      <c r="F113" s="38"/>
      <c r="G113" s="38"/>
      <c r="H113" s="261">
        <f t="shared" ref="H113:H121" si="97">D113*0.5</f>
        <v>0</v>
      </c>
      <c r="I113" s="260">
        <f t="shared" ref="I113:I121" si="98">(3.14*(H113*H113)*C113)/1000</f>
        <v>0</v>
      </c>
      <c r="J113" s="260">
        <f t="shared" si="86"/>
        <v>0</v>
      </c>
      <c r="K113" s="260">
        <f t="shared" si="87"/>
        <v>0</v>
      </c>
      <c r="L113" s="261">
        <f t="shared" si="88"/>
        <v>0</v>
      </c>
      <c r="M113" s="262">
        <f t="shared" si="89"/>
        <v>0</v>
      </c>
      <c r="N113" s="262">
        <f t="shared" ref="N113:N121" si="99">(K113*M113)*L113</f>
        <v>0</v>
      </c>
      <c r="O113" s="262" t="e">
        <f t="shared" si="91"/>
        <v>#DIV/0!</v>
      </c>
      <c r="P113" s="262" t="e">
        <f t="shared" ref="P113:P121" si="100">O113/1000</f>
        <v>#DIV/0!</v>
      </c>
      <c r="Q113" s="258"/>
      <c r="R113" s="262" t="str">
        <f t="shared" si="93"/>
        <v/>
      </c>
      <c r="S113" s="262" t="str">
        <f t="shared" si="94"/>
        <v/>
      </c>
      <c r="T113" s="262" t="str">
        <f t="shared" si="95"/>
        <v/>
      </c>
      <c r="U113" s="264" t="str">
        <f t="shared" si="96"/>
        <v/>
      </c>
    </row>
    <row r="114" spans="1:21" x14ac:dyDescent="0.3">
      <c r="A114" s="263">
        <f>6</f>
        <v>6</v>
      </c>
      <c r="B114" s="38"/>
      <c r="C114" s="38"/>
      <c r="D114" s="276"/>
      <c r="E114" s="277"/>
      <c r="F114" s="38"/>
      <c r="G114" s="38"/>
      <c r="H114" s="261">
        <f t="shared" si="97"/>
        <v>0</v>
      </c>
      <c r="I114" s="260">
        <f t="shared" si="98"/>
        <v>0</v>
      </c>
      <c r="J114" s="260">
        <f t="shared" si="86"/>
        <v>0</v>
      </c>
      <c r="K114" s="260">
        <f t="shared" si="87"/>
        <v>0</v>
      </c>
      <c r="L114" s="261">
        <f t="shared" si="88"/>
        <v>0</v>
      </c>
      <c r="M114" s="262">
        <f t="shared" si="89"/>
        <v>0</v>
      </c>
      <c r="N114" s="262">
        <f t="shared" si="99"/>
        <v>0</v>
      </c>
      <c r="O114" s="262" t="e">
        <f t="shared" si="91"/>
        <v>#DIV/0!</v>
      </c>
      <c r="P114" s="262" t="e">
        <f t="shared" si="100"/>
        <v>#DIV/0!</v>
      </c>
      <c r="Q114" s="258"/>
      <c r="R114" s="262" t="str">
        <f t="shared" si="93"/>
        <v/>
      </c>
      <c r="S114" s="262" t="str">
        <f t="shared" si="94"/>
        <v/>
      </c>
      <c r="T114" s="262" t="str">
        <f t="shared" si="95"/>
        <v/>
      </c>
      <c r="U114" s="264" t="str">
        <f t="shared" si="96"/>
        <v/>
      </c>
    </row>
    <row r="115" spans="1:21" x14ac:dyDescent="0.3">
      <c r="A115" s="263">
        <f>6</f>
        <v>6</v>
      </c>
      <c r="B115" s="38"/>
      <c r="C115" s="38"/>
      <c r="D115" s="276"/>
      <c r="E115" s="277"/>
      <c r="F115" s="38"/>
      <c r="G115" s="38"/>
      <c r="H115" s="261">
        <f t="shared" si="97"/>
        <v>0</v>
      </c>
      <c r="I115" s="260">
        <f t="shared" si="98"/>
        <v>0</v>
      </c>
      <c r="J115" s="260">
        <f t="shared" si="86"/>
        <v>0</v>
      </c>
      <c r="K115" s="260">
        <f t="shared" si="87"/>
        <v>0</v>
      </c>
      <c r="L115" s="261">
        <f t="shared" si="88"/>
        <v>0</v>
      </c>
      <c r="M115" s="262">
        <f t="shared" si="89"/>
        <v>0</v>
      </c>
      <c r="N115" s="262">
        <f t="shared" si="99"/>
        <v>0</v>
      </c>
      <c r="O115" s="262" t="e">
        <f t="shared" si="91"/>
        <v>#DIV/0!</v>
      </c>
      <c r="P115" s="262" t="e">
        <f t="shared" si="100"/>
        <v>#DIV/0!</v>
      </c>
      <c r="Q115" s="258"/>
      <c r="R115" s="262" t="str">
        <f t="shared" si="93"/>
        <v/>
      </c>
      <c r="S115" s="262" t="str">
        <f t="shared" si="94"/>
        <v/>
      </c>
      <c r="T115" s="262" t="str">
        <f t="shared" si="95"/>
        <v/>
      </c>
      <c r="U115" s="264" t="str">
        <f t="shared" si="96"/>
        <v/>
      </c>
    </row>
    <row r="116" spans="1:21" x14ac:dyDescent="0.3">
      <c r="A116" s="263">
        <f>6</f>
        <v>6</v>
      </c>
      <c r="B116" s="38"/>
      <c r="C116" s="38"/>
      <c r="D116" s="276"/>
      <c r="E116" s="277"/>
      <c r="F116" s="38"/>
      <c r="G116" s="38"/>
      <c r="H116" s="261">
        <f t="shared" si="97"/>
        <v>0</v>
      </c>
      <c r="I116" s="260">
        <f t="shared" si="98"/>
        <v>0</v>
      </c>
      <c r="J116" s="260">
        <f t="shared" si="86"/>
        <v>0</v>
      </c>
      <c r="K116" s="260">
        <f t="shared" si="87"/>
        <v>0</v>
      </c>
      <c r="L116" s="261">
        <f t="shared" si="88"/>
        <v>0</v>
      </c>
      <c r="M116" s="262">
        <f t="shared" si="89"/>
        <v>0</v>
      </c>
      <c r="N116" s="262">
        <f t="shared" si="99"/>
        <v>0</v>
      </c>
      <c r="O116" s="262" t="e">
        <f t="shared" si="91"/>
        <v>#DIV/0!</v>
      </c>
      <c r="P116" s="262" t="e">
        <f t="shared" si="100"/>
        <v>#DIV/0!</v>
      </c>
      <c r="Q116" s="258"/>
      <c r="R116" s="262" t="str">
        <f t="shared" si="93"/>
        <v/>
      </c>
      <c r="S116" s="262" t="str">
        <f t="shared" si="94"/>
        <v/>
      </c>
      <c r="T116" s="262" t="str">
        <f t="shared" si="95"/>
        <v/>
      </c>
      <c r="U116" s="264" t="str">
        <f t="shared" si="96"/>
        <v/>
      </c>
    </row>
    <row r="117" spans="1:21" x14ac:dyDescent="0.3">
      <c r="A117" s="263">
        <f>6</f>
        <v>6</v>
      </c>
      <c r="B117" s="38"/>
      <c r="C117" s="38"/>
      <c r="D117" s="276"/>
      <c r="E117" s="277"/>
      <c r="F117" s="38"/>
      <c r="G117" s="38"/>
      <c r="H117" s="261">
        <f t="shared" si="97"/>
        <v>0</v>
      </c>
      <c r="I117" s="260">
        <f t="shared" si="98"/>
        <v>0</v>
      </c>
      <c r="J117" s="260">
        <f t="shared" si="86"/>
        <v>0</v>
      </c>
      <c r="K117" s="260">
        <f t="shared" si="87"/>
        <v>0</v>
      </c>
      <c r="L117" s="261">
        <f t="shared" si="88"/>
        <v>0</v>
      </c>
      <c r="M117" s="262">
        <f t="shared" si="89"/>
        <v>0</v>
      </c>
      <c r="N117" s="262">
        <f t="shared" si="99"/>
        <v>0</v>
      </c>
      <c r="O117" s="262" t="e">
        <f t="shared" si="91"/>
        <v>#DIV/0!</v>
      </c>
      <c r="P117" s="262" t="e">
        <f t="shared" si="100"/>
        <v>#DIV/0!</v>
      </c>
      <c r="Q117" s="258"/>
      <c r="R117" s="262" t="str">
        <f t="shared" si="93"/>
        <v/>
      </c>
      <c r="S117" s="262" t="str">
        <f t="shared" si="94"/>
        <v/>
      </c>
      <c r="T117" s="262" t="str">
        <f t="shared" si="95"/>
        <v/>
      </c>
      <c r="U117" s="264" t="str">
        <f t="shared" si="96"/>
        <v/>
      </c>
    </row>
    <row r="118" spans="1:21" x14ac:dyDescent="0.3">
      <c r="A118" s="263">
        <f>6</f>
        <v>6</v>
      </c>
      <c r="B118" s="38"/>
      <c r="C118" s="38"/>
      <c r="D118" s="276"/>
      <c r="E118" s="277"/>
      <c r="F118" s="38"/>
      <c r="G118" s="38"/>
      <c r="H118" s="261">
        <f t="shared" si="97"/>
        <v>0</v>
      </c>
      <c r="I118" s="260">
        <f t="shared" si="98"/>
        <v>0</v>
      </c>
      <c r="J118" s="260">
        <f t="shared" si="86"/>
        <v>0</v>
      </c>
      <c r="K118" s="260">
        <f t="shared" si="87"/>
        <v>0</v>
      </c>
      <c r="L118" s="261">
        <f t="shared" si="88"/>
        <v>0</v>
      </c>
      <c r="M118" s="262">
        <f t="shared" si="89"/>
        <v>0</v>
      </c>
      <c r="N118" s="262">
        <f t="shared" si="99"/>
        <v>0</v>
      </c>
      <c r="O118" s="262" t="e">
        <f t="shared" si="91"/>
        <v>#DIV/0!</v>
      </c>
      <c r="P118" s="262" t="e">
        <f t="shared" si="100"/>
        <v>#DIV/0!</v>
      </c>
      <c r="Q118" s="258"/>
      <c r="R118" s="262" t="str">
        <f t="shared" si="93"/>
        <v/>
      </c>
      <c r="S118" s="262" t="str">
        <f t="shared" si="94"/>
        <v/>
      </c>
      <c r="T118" s="262" t="str">
        <f t="shared" si="95"/>
        <v/>
      </c>
      <c r="U118" s="264" t="str">
        <f t="shared" si="96"/>
        <v/>
      </c>
    </row>
    <row r="119" spans="1:21" x14ac:dyDescent="0.3">
      <c r="A119" s="263">
        <f>6</f>
        <v>6</v>
      </c>
      <c r="B119" s="38"/>
      <c r="C119" s="38"/>
      <c r="D119" s="276"/>
      <c r="E119" s="277"/>
      <c r="F119" s="38"/>
      <c r="G119" s="38"/>
      <c r="H119" s="261">
        <f t="shared" si="97"/>
        <v>0</v>
      </c>
      <c r="I119" s="260">
        <f t="shared" si="98"/>
        <v>0</v>
      </c>
      <c r="J119" s="260">
        <f t="shared" si="86"/>
        <v>0</v>
      </c>
      <c r="K119" s="260">
        <f t="shared" si="87"/>
        <v>0</v>
      </c>
      <c r="L119" s="261">
        <f t="shared" si="88"/>
        <v>0</v>
      </c>
      <c r="M119" s="262">
        <f t="shared" si="89"/>
        <v>0</v>
      </c>
      <c r="N119" s="262">
        <f t="shared" si="99"/>
        <v>0</v>
      </c>
      <c r="O119" s="262" t="e">
        <f t="shared" si="91"/>
        <v>#DIV/0!</v>
      </c>
      <c r="P119" s="262" t="e">
        <f t="shared" si="100"/>
        <v>#DIV/0!</v>
      </c>
      <c r="Q119" s="258"/>
      <c r="R119" s="262" t="str">
        <f t="shared" si="93"/>
        <v/>
      </c>
      <c r="S119" s="262" t="str">
        <f t="shared" si="94"/>
        <v/>
      </c>
      <c r="T119" s="262" t="str">
        <f t="shared" si="95"/>
        <v/>
      </c>
      <c r="U119" s="264" t="str">
        <f t="shared" si="96"/>
        <v/>
      </c>
    </row>
    <row r="120" spans="1:21" x14ac:dyDescent="0.3">
      <c r="A120" s="263">
        <f>6</f>
        <v>6</v>
      </c>
      <c r="B120" s="38"/>
      <c r="C120" s="38"/>
      <c r="D120" s="276"/>
      <c r="E120" s="277"/>
      <c r="F120" s="38"/>
      <c r="G120" s="38"/>
      <c r="H120" s="261">
        <f t="shared" si="97"/>
        <v>0</v>
      </c>
      <c r="I120" s="260">
        <f t="shared" si="98"/>
        <v>0</v>
      </c>
      <c r="J120" s="260">
        <f t="shared" si="86"/>
        <v>0</v>
      </c>
      <c r="K120" s="260">
        <f t="shared" si="87"/>
        <v>0</v>
      </c>
      <c r="L120" s="261">
        <f t="shared" si="88"/>
        <v>0</v>
      </c>
      <c r="M120" s="262">
        <f t="shared" si="89"/>
        <v>0</v>
      </c>
      <c r="N120" s="262">
        <f t="shared" si="99"/>
        <v>0</v>
      </c>
      <c r="O120" s="262" t="e">
        <f t="shared" si="91"/>
        <v>#DIV/0!</v>
      </c>
      <c r="P120" s="262" t="e">
        <f t="shared" si="100"/>
        <v>#DIV/0!</v>
      </c>
      <c r="Q120" s="258"/>
      <c r="R120" s="262" t="str">
        <f t="shared" si="93"/>
        <v/>
      </c>
      <c r="S120" s="262" t="str">
        <f t="shared" si="94"/>
        <v/>
      </c>
      <c r="T120" s="262" t="str">
        <f t="shared" si="95"/>
        <v/>
      </c>
      <c r="U120" s="264" t="str">
        <f t="shared" si="96"/>
        <v/>
      </c>
    </row>
    <row r="121" spans="1:21" x14ac:dyDescent="0.3">
      <c r="A121" s="263">
        <f>6</f>
        <v>6</v>
      </c>
      <c r="B121" s="38"/>
      <c r="C121" s="38"/>
      <c r="D121" s="276"/>
      <c r="E121" s="277"/>
      <c r="F121" s="38"/>
      <c r="G121" s="38"/>
      <c r="H121" s="261">
        <f t="shared" si="97"/>
        <v>0</v>
      </c>
      <c r="I121" s="260">
        <f t="shared" si="98"/>
        <v>0</v>
      </c>
      <c r="J121" s="260">
        <f t="shared" si="86"/>
        <v>0</v>
      </c>
      <c r="K121" s="260">
        <f t="shared" si="87"/>
        <v>0</v>
      </c>
      <c r="L121" s="261">
        <f t="shared" si="88"/>
        <v>0</v>
      </c>
      <c r="M121" s="262">
        <f t="shared" si="89"/>
        <v>0</v>
      </c>
      <c r="N121" s="262">
        <f t="shared" si="99"/>
        <v>0</v>
      </c>
      <c r="O121" s="262" t="e">
        <f t="shared" si="91"/>
        <v>#DIV/0!</v>
      </c>
      <c r="P121" s="262" t="e">
        <f t="shared" si="100"/>
        <v>#DIV/0!</v>
      </c>
      <c r="Q121" s="258"/>
      <c r="R121" s="262" t="str">
        <f t="shared" si="93"/>
        <v/>
      </c>
      <c r="S121" s="262" t="str">
        <f t="shared" si="94"/>
        <v/>
      </c>
      <c r="T121" s="262" t="str">
        <f t="shared" si="95"/>
        <v/>
      </c>
      <c r="U121" s="264" t="str">
        <f t="shared" si="96"/>
        <v/>
      </c>
    </row>
    <row r="122" spans="1:21" x14ac:dyDescent="0.3">
      <c r="B122" s="4" t="s">
        <v>139</v>
      </c>
      <c r="C122" s="253">
        <f>COUNT(B112:B121)</f>
        <v>0</v>
      </c>
      <c r="D122" s="4"/>
      <c r="F122" s="28"/>
      <c r="G122" s="28"/>
      <c r="H122" s="28"/>
      <c r="I122" s="72"/>
      <c r="J122" s="72"/>
      <c r="K122" s="36"/>
      <c r="L122" s="12"/>
      <c r="M122" s="93"/>
      <c r="N122" s="93"/>
      <c r="O122" s="254" t="e">
        <f>SUM(O112:O121)</f>
        <v>#DIV/0!</v>
      </c>
      <c r="P122" s="254" t="e">
        <f>SUM(P112:P121)</f>
        <v>#DIV/0!</v>
      </c>
      <c r="Q122" s="26"/>
      <c r="R122" s="254">
        <f>SUM(R112:R121)</f>
        <v>0</v>
      </c>
      <c r="S122" s="256">
        <f>SUM(S112:S121)</f>
        <v>0</v>
      </c>
      <c r="T122" s="256">
        <f>SUM(T112:T121)</f>
        <v>0</v>
      </c>
      <c r="U122" s="256">
        <f>SUM(U112:U121)</f>
        <v>0</v>
      </c>
    </row>
    <row r="123" spans="1:21" x14ac:dyDescent="0.3">
      <c r="T123" s="128"/>
      <c r="U123" s="128"/>
    </row>
    <row r="124" spans="1:21" x14ac:dyDescent="0.3">
      <c r="T124" s="128"/>
      <c r="U124" s="128"/>
    </row>
    <row r="125" spans="1:21" x14ac:dyDescent="0.3">
      <c r="T125" s="128"/>
      <c r="U125" s="128"/>
    </row>
    <row r="126" spans="1:21" x14ac:dyDescent="0.3">
      <c r="T126" s="128"/>
      <c r="U126" s="128"/>
    </row>
    <row r="127" spans="1:21" x14ac:dyDescent="0.3">
      <c r="A127" s="3"/>
      <c r="C127" s="119" t="s">
        <v>826</v>
      </c>
      <c r="D127" s="280"/>
      <c r="E127" s="279"/>
      <c r="F127" s="251" t="s">
        <v>825</v>
      </c>
      <c r="G127" s="87"/>
      <c r="H127" s="95"/>
      <c r="I127" s="251" t="s">
        <v>802</v>
      </c>
      <c r="J127" s="87"/>
      <c r="K127" s="4"/>
      <c r="L127" s="33"/>
      <c r="M127" s="72"/>
      <c r="N127" s="270"/>
      <c r="O127" s="119" t="s">
        <v>803</v>
      </c>
      <c r="P127" s="271"/>
      <c r="R127" s="35"/>
      <c r="S127" s="243" t="s">
        <v>827</v>
      </c>
      <c r="T127" s="259"/>
      <c r="U127" s="255"/>
    </row>
    <row r="128" spans="1:21" ht="34.5" x14ac:dyDescent="0.3">
      <c r="A128" s="266" t="s">
        <v>135</v>
      </c>
      <c r="B128" s="335" t="s">
        <v>143</v>
      </c>
      <c r="C128" s="272" t="s">
        <v>412</v>
      </c>
      <c r="D128" s="274" t="s">
        <v>1031</v>
      </c>
      <c r="E128" s="275" t="s">
        <v>157</v>
      </c>
      <c r="F128" s="269" t="s">
        <v>1029</v>
      </c>
      <c r="G128" s="269" t="s">
        <v>1030</v>
      </c>
      <c r="H128" s="269" t="s">
        <v>413</v>
      </c>
      <c r="I128" s="269" t="s">
        <v>414</v>
      </c>
      <c r="J128" s="269" t="s">
        <v>415</v>
      </c>
      <c r="K128" s="269" t="s">
        <v>795</v>
      </c>
      <c r="L128" s="269" t="s">
        <v>153</v>
      </c>
      <c r="M128" s="269" t="s">
        <v>416</v>
      </c>
      <c r="N128" s="269" t="s">
        <v>796</v>
      </c>
      <c r="O128" s="269" t="s">
        <v>159</v>
      </c>
      <c r="P128" s="269" t="s">
        <v>160</v>
      </c>
      <c r="Q128" s="257" t="s">
        <v>824</v>
      </c>
      <c r="R128" s="269" t="s">
        <v>137</v>
      </c>
      <c r="S128" s="269" t="s">
        <v>138</v>
      </c>
      <c r="T128" s="269" t="s">
        <v>161</v>
      </c>
      <c r="U128" s="269" t="s">
        <v>162</v>
      </c>
    </row>
    <row r="129" spans="1:21" x14ac:dyDescent="0.3">
      <c r="A129" s="263">
        <f>7</f>
        <v>7</v>
      </c>
      <c r="B129" s="38"/>
      <c r="C129" s="38"/>
      <c r="D129" s="276"/>
      <c r="E129" s="277"/>
      <c r="F129" s="38"/>
      <c r="G129" s="38"/>
      <c r="H129" s="261">
        <f t="shared" ref="H129" si="101">D129*0.5</f>
        <v>0</v>
      </c>
      <c r="I129" s="260">
        <f t="shared" ref="I129" si="102">(3.14*(H129*H129)*C129)/1000</f>
        <v>0</v>
      </c>
      <c r="J129" s="260">
        <f t="shared" ref="J129:J138" si="103">((PI()*(F129*0.5)*(G129*0.5)*E129)/3)/1000</f>
        <v>0</v>
      </c>
      <c r="K129" s="260">
        <f t="shared" ref="K129:K138" si="104">I129+J129</f>
        <v>0</v>
      </c>
      <c r="L129" s="261">
        <f t="shared" ref="L129:L138" si="105">IF(B129=1,$G$11,IF(B129=2,$G$12,IF(B129=3,$G$13,IF(B129=4,$G$14,))))</f>
        <v>0</v>
      </c>
      <c r="M129" s="262">
        <f t="shared" ref="M129:M138" si="106">IF(B129=1,$D$11,IF(B129=2,$D$12,IF(B129=3,$D$13,IF(B129=4,$D$14,))))</f>
        <v>0</v>
      </c>
      <c r="N129" s="262">
        <f t="shared" ref="N129" si="107">(K129*M129)*L129</f>
        <v>0</v>
      </c>
      <c r="O129" s="262" t="e">
        <f t="shared" ref="O129:O138" si="108">N129*(1/$B$6)</f>
        <v>#DIV/0!</v>
      </c>
      <c r="P129" s="262" t="e">
        <f t="shared" ref="P129" si="109">O129/1000</f>
        <v>#DIV/0!</v>
      </c>
      <c r="Q129" s="258"/>
      <c r="R129" s="262" t="str">
        <f t="shared" ref="R129:R138" si="110">IF(B129=1, P129,"")</f>
        <v/>
      </c>
      <c r="S129" s="262" t="str">
        <f t="shared" ref="S129:S138" si="111">IF(B129=2, P129,"")</f>
        <v/>
      </c>
      <c r="T129" s="262" t="str">
        <f t="shared" ref="T129:T138" si="112">IF(B129=3, P129,"")</f>
        <v/>
      </c>
      <c r="U129" s="264" t="str">
        <f t="shared" ref="U129:U138" si="113">IF(B129=4, P129,"")</f>
        <v/>
      </c>
    </row>
    <row r="130" spans="1:21" x14ac:dyDescent="0.3">
      <c r="A130" s="263">
        <f>7</f>
        <v>7</v>
      </c>
      <c r="B130" s="38"/>
      <c r="C130" s="38"/>
      <c r="D130" s="276"/>
      <c r="E130" s="277"/>
      <c r="F130" s="38"/>
      <c r="G130" s="38"/>
      <c r="H130" s="261">
        <f t="shared" ref="H130:H138" si="114">D130*0.5</f>
        <v>0</v>
      </c>
      <c r="I130" s="260">
        <f t="shared" ref="I130:I138" si="115">(3.14*(H130*H130)*C130)/1000</f>
        <v>0</v>
      </c>
      <c r="J130" s="260">
        <f t="shared" si="103"/>
        <v>0</v>
      </c>
      <c r="K130" s="260">
        <f t="shared" si="104"/>
        <v>0</v>
      </c>
      <c r="L130" s="261">
        <f t="shared" si="105"/>
        <v>0</v>
      </c>
      <c r="M130" s="262">
        <f t="shared" si="106"/>
        <v>0</v>
      </c>
      <c r="N130" s="262">
        <f t="shared" ref="N130:N138" si="116">(K130*M130)*L130</f>
        <v>0</v>
      </c>
      <c r="O130" s="262" t="e">
        <f t="shared" si="108"/>
        <v>#DIV/0!</v>
      </c>
      <c r="P130" s="262" t="e">
        <f t="shared" ref="P130:P138" si="117">O130/1000</f>
        <v>#DIV/0!</v>
      </c>
      <c r="Q130" s="258"/>
      <c r="R130" s="262" t="str">
        <f t="shared" si="110"/>
        <v/>
      </c>
      <c r="S130" s="262" t="str">
        <f t="shared" si="111"/>
        <v/>
      </c>
      <c r="T130" s="262" t="str">
        <f t="shared" si="112"/>
        <v/>
      </c>
      <c r="U130" s="264" t="str">
        <f t="shared" si="113"/>
        <v/>
      </c>
    </row>
    <row r="131" spans="1:21" x14ac:dyDescent="0.3">
      <c r="A131" s="263">
        <f>7</f>
        <v>7</v>
      </c>
      <c r="B131" s="38"/>
      <c r="C131" s="38"/>
      <c r="D131" s="276"/>
      <c r="E131" s="277"/>
      <c r="F131" s="38"/>
      <c r="G131" s="38"/>
      <c r="H131" s="261">
        <f t="shared" si="114"/>
        <v>0</v>
      </c>
      <c r="I131" s="260">
        <f t="shared" si="115"/>
        <v>0</v>
      </c>
      <c r="J131" s="260">
        <f t="shared" si="103"/>
        <v>0</v>
      </c>
      <c r="K131" s="260">
        <f t="shared" si="104"/>
        <v>0</v>
      </c>
      <c r="L131" s="261">
        <f t="shared" si="105"/>
        <v>0</v>
      </c>
      <c r="M131" s="262">
        <f t="shared" si="106"/>
        <v>0</v>
      </c>
      <c r="N131" s="262">
        <f t="shared" si="116"/>
        <v>0</v>
      </c>
      <c r="O131" s="262" t="e">
        <f t="shared" si="108"/>
        <v>#DIV/0!</v>
      </c>
      <c r="P131" s="262" t="e">
        <f t="shared" si="117"/>
        <v>#DIV/0!</v>
      </c>
      <c r="Q131" s="258"/>
      <c r="R131" s="262" t="str">
        <f t="shared" si="110"/>
        <v/>
      </c>
      <c r="S131" s="262" t="str">
        <f t="shared" si="111"/>
        <v/>
      </c>
      <c r="T131" s="262" t="str">
        <f t="shared" si="112"/>
        <v/>
      </c>
      <c r="U131" s="264" t="str">
        <f t="shared" si="113"/>
        <v/>
      </c>
    </row>
    <row r="132" spans="1:21" x14ac:dyDescent="0.3">
      <c r="A132" s="263">
        <f>7</f>
        <v>7</v>
      </c>
      <c r="B132" s="38"/>
      <c r="C132" s="38"/>
      <c r="D132" s="276"/>
      <c r="E132" s="277"/>
      <c r="F132" s="38"/>
      <c r="G132" s="38"/>
      <c r="H132" s="261">
        <f t="shared" si="114"/>
        <v>0</v>
      </c>
      <c r="I132" s="260">
        <f t="shared" si="115"/>
        <v>0</v>
      </c>
      <c r="J132" s="260">
        <f t="shared" si="103"/>
        <v>0</v>
      </c>
      <c r="K132" s="260">
        <f t="shared" si="104"/>
        <v>0</v>
      </c>
      <c r="L132" s="261">
        <f t="shared" si="105"/>
        <v>0</v>
      </c>
      <c r="M132" s="262">
        <f t="shared" si="106"/>
        <v>0</v>
      </c>
      <c r="N132" s="262">
        <f t="shared" si="116"/>
        <v>0</v>
      </c>
      <c r="O132" s="262" t="e">
        <f t="shared" si="108"/>
        <v>#DIV/0!</v>
      </c>
      <c r="P132" s="262" t="e">
        <f t="shared" si="117"/>
        <v>#DIV/0!</v>
      </c>
      <c r="Q132" s="258"/>
      <c r="R132" s="262" t="str">
        <f t="shared" si="110"/>
        <v/>
      </c>
      <c r="S132" s="262" t="str">
        <f t="shared" si="111"/>
        <v/>
      </c>
      <c r="T132" s="262" t="str">
        <f t="shared" si="112"/>
        <v/>
      </c>
      <c r="U132" s="264" t="str">
        <f t="shared" si="113"/>
        <v/>
      </c>
    </row>
    <row r="133" spans="1:21" x14ac:dyDescent="0.3">
      <c r="A133" s="263">
        <f>7</f>
        <v>7</v>
      </c>
      <c r="B133" s="38"/>
      <c r="C133" s="38"/>
      <c r="D133" s="276"/>
      <c r="E133" s="277"/>
      <c r="F133" s="38"/>
      <c r="G133" s="38"/>
      <c r="H133" s="261">
        <f t="shared" si="114"/>
        <v>0</v>
      </c>
      <c r="I133" s="260">
        <f t="shared" si="115"/>
        <v>0</v>
      </c>
      <c r="J133" s="260">
        <f t="shared" si="103"/>
        <v>0</v>
      </c>
      <c r="K133" s="260">
        <f t="shared" si="104"/>
        <v>0</v>
      </c>
      <c r="L133" s="261">
        <f t="shared" si="105"/>
        <v>0</v>
      </c>
      <c r="M133" s="262">
        <f t="shared" si="106"/>
        <v>0</v>
      </c>
      <c r="N133" s="262">
        <f t="shared" si="116"/>
        <v>0</v>
      </c>
      <c r="O133" s="262" t="e">
        <f t="shared" si="108"/>
        <v>#DIV/0!</v>
      </c>
      <c r="P133" s="262" t="e">
        <f t="shared" si="117"/>
        <v>#DIV/0!</v>
      </c>
      <c r="Q133" s="258"/>
      <c r="R133" s="262" t="str">
        <f t="shared" si="110"/>
        <v/>
      </c>
      <c r="S133" s="262" t="str">
        <f t="shared" si="111"/>
        <v/>
      </c>
      <c r="T133" s="262" t="str">
        <f t="shared" si="112"/>
        <v/>
      </c>
      <c r="U133" s="264" t="str">
        <f t="shared" si="113"/>
        <v/>
      </c>
    </row>
    <row r="134" spans="1:21" x14ac:dyDescent="0.3">
      <c r="A134" s="263">
        <f>7</f>
        <v>7</v>
      </c>
      <c r="B134" s="38"/>
      <c r="C134" s="38"/>
      <c r="D134" s="276"/>
      <c r="E134" s="277"/>
      <c r="F134" s="38"/>
      <c r="G134" s="38"/>
      <c r="H134" s="261">
        <f t="shared" si="114"/>
        <v>0</v>
      </c>
      <c r="I134" s="260">
        <f t="shared" si="115"/>
        <v>0</v>
      </c>
      <c r="J134" s="260">
        <f t="shared" si="103"/>
        <v>0</v>
      </c>
      <c r="K134" s="260">
        <f t="shared" si="104"/>
        <v>0</v>
      </c>
      <c r="L134" s="261">
        <f t="shared" si="105"/>
        <v>0</v>
      </c>
      <c r="M134" s="262">
        <f t="shared" si="106"/>
        <v>0</v>
      </c>
      <c r="N134" s="262">
        <f t="shared" si="116"/>
        <v>0</v>
      </c>
      <c r="O134" s="262" t="e">
        <f t="shared" si="108"/>
        <v>#DIV/0!</v>
      </c>
      <c r="P134" s="262" t="e">
        <f t="shared" si="117"/>
        <v>#DIV/0!</v>
      </c>
      <c r="Q134" s="258"/>
      <c r="R134" s="262" t="str">
        <f t="shared" si="110"/>
        <v/>
      </c>
      <c r="S134" s="262" t="str">
        <f t="shared" si="111"/>
        <v/>
      </c>
      <c r="T134" s="262" t="str">
        <f t="shared" si="112"/>
        <v/>
      </c>
      <c r="U134" s="264" t="str">
        <f t="shared" si="113"/>
        <v/>
      </c>
    </row>
    <row r="135" spans="1:21" x14ac:dyDescent="0.3">
      <c r="A135" s="263">
        <f>7</f>
        <v>7</v>
      </c>
      <c r="B135" s="38"/>
      <c r="C135" s="38"/>
      <c r="D135" s="276"/>
      <c r="E135" s="277"/>
      <c r="F135" s="38"/>
      <c r="G135" s="38"/>
      <c r="H135" s="261">
        <f t="shared" si="114"/>
        <v>0</v>
      </c>
      <c r="I135" s="260">
        <f t="shared" si="115"/>
        <v>0</v>
      </c>
      <c r="J135" s="260">
        <f t="shared" si="103"/>
        <v>0</v>
      </c>
      <c r="K135" s="260">
        <f t="shared" si="104"/>
        <v>0</v>
      </c>
      <c r="L135" s="261">
        <f t="shared" si="105"/>
        <v>0</v>
      </c>
      <c r="M135" s="262">
        <f t="shared" si="106"/>
        <v>0</v>
      </c>
      <c r="N135" s="262">
        <f t="shared" si="116"/>
        <v>0</v>
      </c>
      <c r="O135" s="262" t="e">
        <f t="shared" si="108"/>
        <v>#DIV/0!</v>
      </c>
      <c r="P135" s="262" t="e">
        <f t="shared" si="117"/>
        <v>#DIV/0!</v>
      </c>
      <c r="Q135" s="258"/>
      <c r="R135" s="262" t="str">
        <f t="shared" si="110"/>
        <v/>
      </c>
      <c r="S135" s="262" t="str">
        <f t="shared" si="111"/>
        <v/>
      </c>
      <c r="T135" s="262" t="str">
        <f t="shared" si="112"/>
        <v/>
      </c>
      <c r="U135" s="264" t="str">
        <f t="shared" si="113"/>
        <v/>
      </c>
    </row>
    <row r="136" spans="1:21" x14ac:dyDescent="0.3">
      <c r="A136" s="263">
        <f>7</f>
        <v>7</v>
      </c>
      <c r="B136" s="38"/>
      <c r="C136" s="38"/>
      <c r="D136" s="276"/>
      <c r="E136" s="277"/>
      <c r="F136" s="38"/>
      <c r="G136" s="38"/>
      <c r="H136" s="261">
        <f t="shared" si="114"/>
        <v>0</v>
      </c>
      <c r="I136" s="260">
        <f t="shared" si="115"/>
        <v>0</v>
      </c>
      <c r="J136" s="260">
        <f t="shared" si="103"/>
        <v>0</v>
      </c>
      <c r="K136" s="260">
        <f t="shared" si="104"/>
        <v>0</v>
      </c>
      <c r="L136" s="261">
        <f t="shared" si="105"/>
        <v>0</v>
      </c>
      <c r="M136" s="262">
        <f t="shared" si="106"/>
        <v>0</v>
      </c>
      <c r="N136" s="262">
        <f t="shared" si="116"/>
        <v>0</v>
      </c>
      <c r="O136" s="262" t="e">
        <f t="shared" si="108"/>
        <v>#DIV/0!</v>
      </c>
      <c r="P136" s="262" t="e">
        <f t="shared" si="117"/>
        <v>#DIV/0!</v>
      </c>
      <c r="Q136" s="258"/>
      <c r="R136" s="262" t="str">
        <f t="shared" si="110"/>
        <v/>
      </c>
      <c r="S136" s="262" t="str">
        <f t="shared" si="111"/>
        <v/>
      </c>
      <c r="T136" s="262" t="str">
        <f t="shared" si="112"/>
        <v/>
      </c>
      <c r="U136" s="264" t="str">
        <f t="shared" si="113"/>
        <v/>
      </c>
    </row>
    <row r="137" spans="1:21" x14ac:dyDescent="0.3">
      <c r="A137" s="263">
        <f>7</f>
        <v>7</v>
      </c>
      <c r="B137" s="38"/>
      <c r="C137" s="38"/>
      <c r="D137" s="276"/>
      <c r="E137" s="277"/>
      <c r="F137" s="38"/>
      <c r="G137" s="38"/>
      <c r="H137" s="261">
        <f t="shared" si="114"/>
        <v>0</v>
      </c>
      <c r="I137" s="260">
        <f t="shared" si="115"/>
        <v>0</v>
      </c>
      <c r="J137" s="260">
        <f t="shared" si="103"/>
        <v>0</v>
      </c>
      <c r="K137" s="260">
        <f t="shared" si="104"/>
        <v>0</v>
      </c>
      <c r="L137" s="261">
        <f t="shared" si="105"/>
        <v>0</v>
      </c>
      <c r="M137" s="262">
        <f t="shared" si="106"/>
        <v>0</v>
      </c>
      <c r="N137" s="262">
        <f t="shared" si="116"/>
        <v>0</v>
      </c>
      <c r="O137" s="262" t="e">
        <f t="shared" si="108"/>
        <v>#DIV/0!</v>
      </c>
      <c r="P137" s="262" t="e">
        <f t="shared" si="117"/>
        <v>#DIV/0!</v>
      </c>
      <c r="Q137" s="258"/>
      <c r="R137" s="262" t="str">
        <f t="shared" si="110"/>
        <v/>
      </c>
      <c r="S137" s="262" t="str">
        <f t="shared" si="111"/>
        <v/>
      </c>
      <c r="T137" s="262" t="str">
        <f t="shared" si="112"/>
        <v/>
      </c>
      <c r="U137" s="264" t="str">
        <f t="shared" si="113"/>
        <v/>
      </c>
    </row>
    <row r="138" spans="1:21" x14ac:dyDescent="0.3">
      <c r="A138" s="263">
        <f>7</f>
        <v>7</v>
      </c>
      <c r="B138" s="38"/>
      <c r="C138" s="38"/>
      <c r="D138" s="276"/>
      <c r="E138" s="277"/>
      <c r="F138" s="38"/>
      <c r="G138" s="38"/>
      <c r="H138" s="261">
        <f t="shared" si="114"/>
        <v>0</v>
      </c>
      <c r="I138" s="260">
        <f t="shared" si="115"/>
        <v>0</v>
      </c>
      <c r="J138" s="260">
        <f t="shared" si="103"/>
        <v>0</v>
      </c>
      <c r="K138" s="260">
        <f t="shared" si="104"/>
        <v>0</v>
      </c>
      <c r="L138" s="261">
        <f t="shared" si="105"/>
        <v>0</v>
      </c>
      <c r="M138" s="262">
        <f t="shared" si="106"/>
        <v>0</v>
      </c>
      <c r="N138" s="262">
        <f t="shared" si="116"/>
        <v>0</v>
      </c>
      <c r="O138" s="262" t="e">
        <f t="shared" si="108"/>
        <v>#DIV/0!</v>
      </c>
      <c r="P138" s="262" t="e">
        <f t="shared" si="117"/>
        <v>#DIV/0!</v>
      </c>
      <c r="Q138" s="258"/>
      <c r="R138" s="262" t="str">
        <f t="shared" si="110"/>
        <v/>
      </c>
      <c r="S138" s="262" t="str">
        <f t="shared" si="111"/>
        <v/>
      </c>
      <c r="T138" s="262" t="str">
        <f t="shared" si="112"/>
        <v/>
      </c>
      <c r="U138" s="264" t="str">
        <f t="shared" si="113"/>
        <v/>
      </c>
    </row>
    <row r="139" spans="1:21" x14ac:dyDescent="0.3">
      <c r="B139" s="4" t="s">
        <v>139</v>
      </c>
      <c r="C139" s="253">
        <f>COUNT(B129:B138)</f>
        <v>0</v>
      </c>
      <c r="D139" s="4"/>
      <c r="F139" s="28"/>
      <c r="G139" s="28"/>
      <c r="H139" s="28"/>
      <c r="I139" s="72"/>
      <c r="J139" s="72"/>
      <c r="K139" s="36"/>
      <c r="L139" s="12"/>
      <c r="M139" s="93"/>
      <c r="N139" s="93"/>
      <c r="O139" s="254" t="e">
        <f>SUM(O129:O138)</f>
        <v>#DIV/0!</v>
      </c>
      <c r="P139" s="254" t="e">
        <f>SUM(P129:P138)</f>
        <v>#DIV/0!</v>
      </c>
      <c r="Q139" s="26"/>
      <c r="R139" s="254">
        <f>SUM(R129:R138)</f>
        <v>0</v>
      </c>
      <c r="S139" s="256">
        <f>SUM(S129:S138)</f>
        <v>0</v>
      </c>
      <c r="T139" s="256">
        <f>SUM(T129:T138)</f>
        <v>0</v>
      </c>
      <c r="U139" s="256">
        <f>SUM(U129:U138)</f>
        <v>0</v>
      </c>
    </row>
    <row r="140" spans="1:21" x14ac:dyDescent="0.3">
      <c r="T140" s="128"/>
      <c r="U140" s="128"/>
    </row>
    <row r="141" spans="1:21" x14ac:dyDescent="0.3">
      <c r="T141" s="128"/>
      <c r="U141" s="128"/>
    </row>
    <row r="142" spans="1:21" x14ac:dyDescent="0.3">
      <c r="T142" s="128"/>
      <c r="U142" s="128"/>
    </row>
    <row r="143" spans="1:21" x14ac:dyDescent="0.3">
      <c r="T143" s="128"/>
      <c r="U143" s="128"/>
    </row>
    <row r="144" spans="1:21" x14ac:dyDescent="0.3">
      <c r="A144" s="3"/>
      <c r="C144" s="119" t="s">
        <v>826</v>
      </c>
      <c r="D144" s="280"/>
      <c r="E144" s="279"/>
      <c r="F144" s="251" t="s">
        <v>825</v>
      </c>
      <c r="G144" s="87"/>
      <c r="H144" s="95"/>
      <c r="I144" s="251" t="s">
        <v>802</v>
      </c>
      <c r="J144" s="87"/>
      <c r="K144" s="4"/>
      <c r="L144" s="33"/>
      <c r="M144" s="72"/>
      <c r="N144" s="270"/>
      <c r="O144" s="119" t="s">
        <v>803</v>
      </c>
      <c r="P144" s="271"/>
      <c r="R144" s="35"/>
      <c r="S144" s="243" t="s">
        <v>827</v>
      </c>
      <c r="T144" s="259"/>
      <c r="U144" s="255"/>
    </row>
    <row r="145" spans="1:21" ht="34.5" x14ac:dyDescent="0.3">
      <c r="A145" s="266" t="s">
        <v>135</v>
      </c>
      <c r="B145" s="335" t="s">
        <v>143</v>
      </c>
      <c r="C145" s="272" t="s">
        <v>412</v>
      </c>
      <c r="D145" s="274" t="s">
        <v>1031</v>
      </c>
      <c r="E145" s="275" t="s">
        <v>157</v>
      </c>
      <c r="F145" s="269" t="s">
        <v>1029</v>
      </c>
      <c r="G145" s="269" t="s">
        <v>1030</v>
      </c>
      <c r="H145" s="269" t="s">
        <v>413</v>
      </c>
      <c r="I145" s="269" t="s">
        <v>414</v>
      </c>
      <c r="J145" s="269" t="s">
        <v>415</v>
      </c>
      <c r="K145" s="269" t="s">
        <v>795</v>
      </c>
      <c r="L145" s="269" t="s">
        <v>153</v>
      </c>
      <c r="M145" s="269" t="s">
        <v>416</v>
      </c>
      <c r="N145" s="269" t="s">
        <v>796</v>
      </c>
      <c r="O145" s="269" t="s">
        <v>159</v>
      </c>
      <c r="P145" s="269" t="s">
        <v>160</v>
      </c>
      <c r="Q145" s="257" t="s">
        <v>824</v>
      </c>
      <c r="R145" s="269" t="s">
        <v>137</v>
      </c>
      <c r="S145" s="269" t="s">
        <v>138</v>
      </c>
      <c r="T145" s="269" t="s">
        <v>161</v>
      </c>
      <c r="U145" s="269" t="s">
        <v>162</v>
      </c>
    </row>
    <row r="146" spans="1:21" x14ac:dyDescent="0.3">
      <c r="A146" s="263">
        <f>8</f>
        <v>8</v>
      </c>
      <c r="B146" s="276"/>
      <c r="C146" s="38"/>
      <c r="D146" s="276"/>
      <c r="E146" s="277"/>
      <c r="F146" s="38"/>
      <c r="G146" s="38"/>
      <c r="H146" s="261">
        <f t="shared" ref="H146:H155" si="118">D146*0.5</f>
        <v>0</v>
      </c>
      <c r="I146" s="260">
        <f t="shared" ref="I146" si="119">(3.14*(H146*H146)*C146)/1000</f>
        <v>0</v>
      </c>
      <c r="J146" s="260">
        <f t="shared" ref="J146:J155" si="120">((PI()*(F146*0.5)*(G146*0.5)*E146)/3)/1000</f>
        <v>0</v>
      </c>
      <c r="K146" s="260">
        <f t="shared" ref="K146:K155" si="121">I146+J146</f>
        <v>0</v>
      </c>
      <c r="L146" s="261">
        <f t="shared" ref="L146:L155" si="122">IF(B146=1,$G$11,IF(B146=2,$G$12,IF(B146=3,$G$13,IF(B146=4,$G$14,))))</f>
        <v>0</v>
      </c>
      <c r="M146" s="262">
        <f t="shared" ref="M146:M155" si="123">IF(B146=1,$D$11,IF(B146=2,$D$12,IF(B146=3,$D$13,IF(B146=4,$D$14,))))</f>
        <v>0</v>
      </c>
      <c r="N146" s="262">
        <f t="shared" ref="N146" si="124">(K146*M146)*L146</f>
        <v>0</v>
      </c>
      <c r="O146" s="262" t="e">
        <f t="shared" ref="O146:O155" si="125">N146*(1/$B$6)</f>
        <v>#DIV/0!</v>
      </c>
      <c r="P146" s="262" t="e">
        <f t="shared" ref="P146" si="126">O146/1000</f>
        <v>#DIV/0!</v>
      </c>
      <c r="Q146" s="258"/>
      <c r="R146" s="262" t="str">
        <f t="shared" ref="R146:R155" si="127">IF(B146=1, P146,"")</f>
        <v/>
      </c>
      <c r="S146" s="262" t="str">
        <f t="shared" ref="S146:S155" si="128">IF(B146=2, P146,"")</f>
        <v/>
      </c>
      <c r="T146" s="262" t="str">
        <f t="shared" ref="T146:T155" si="129">IF(B146=3, P146,"")</f>
        <v/>
      </c>
      <c r="U146" s="264" t="str">
        <f t="shared" ref="U146:U155" si="130">IF(B146=4, P146,"")</f>
        <v/>
      </c>
    </row>
    <row r="147" spans="1:21" x14ac:dyDescent="0.3">
      <c r="A147" s="263">
        <f>8</f>
        <v>8</v>
      </c>
      <c r="B147" s="38"/>
      <c r="C147" s="38"/>
      <c r="D147" s="276"/>
      <c r="E147" s="277"/>
      <c r="F147" s="38"/>
      <c r="G147" s="38"/>
      <c r="H147" s="261">
        <f t="shared" si="118"/>
        <v>0</v>
      </c>
      <c r="I147" s="260">
        <f t="shared" ref="I147:I155" si="131">(3.14*(H147*H147)*C147)/1000</f>
        <v>0</v>
      </c>
      <c r="J147" s="260">
        <f t="shared" si="120"/>
        <v>0</v>
      </c>
      <c r="K147" s="260">
        <f t="shared" si="121"/>
        <v>0</v>
      </c>
      <c r="L147" s="261">
        <f t="shared" si="122"/>
        <v>0</v>
      </c>
      <c r="M147" s="262">
        <f t="shared" si="123"/>
        <v>0</v>
      </c>
      <c r="N147" s="262">
        <f t="shared" ref="N147:N155" si="132">(K147*M147)*L147</f>
        <v>0</v>
      </c>
      <c r="O147" s="262" t="e">
        <f t="shared" si="125"/>
        <v>#DIV/0!</v>
      </c>
      <c r="P147" s="262" t="e">
        <f t="shared" ref="P147:P155" si="133">O147/1000</f>
        <v>#DIV/0!</v>
      </c>
      <c r="Q147" s="258"/>
      <c r="R147" s="262" t="str">
        <f t="shared" si="127"/>
        <v/>
      </c>
      <c r="S147" s="262" t="str">
        <f t="shared" si="128"/>
        <v/>
      </c>
      <c r="T147" s="262" t="str">
        <f t="shared" si="129"/>
        <v/>
      </c>
      <c r="U147" s="264" t="str">
        <f t="shared" si="130"/>
        <v/>
      </c>
    </row>
    <row r="148" spans="1:21" x14ac:dyDescent="0.3">
      <c r="A148" s="263">
        <f>8</f>
        <v>8</v>
      </c>
      <c r="B148" s="38"/>
      <c r="C148" s="38"/>
      <c r="D148" s="276"/>
      <c r="E148" s="277"/>
      <c r="F148" s="38"/>
      <c r="G148" s="38"/>
      <c r="H148" s="261">
        <f t="shared" si="118"/>
        <v>0</v>
      </c>
      <c r="I148" s="260">
        <f t="shared" si="131"/>
        <v>0</v>
      </c>
      <c r="J148" s="260">
        <f t="shared" si="120"/>
        <v>0</v>
      </c>
      <c r="K148" s="260">
        <f t="shared" si="121"/>
        <v>0</v>
      </c>
      <c r="L148" s="261">
        <f t="shared" si="122"/>
        <v>0</v>
      </c>
      <c r="M148" s="262">
        <f t="shared" si="123"/>
        <v>0</v>
      </c>
      <c r="N148" s="262">
        <f t="shared" si="132"/>
        <v>0</v>
      </c>
      <c r="O148" s="262" t="e">
        <f t="shared" si="125"/>
        <v>#DIV/0!</v>
      </c>
      <c r="P148" s="262" t="e">
        <f t="shared" si="133"/>
        <v>#DIV/0!</v>
      </c>
      <c r="Q148" s="258"/>
      <c r="R148" s="262" t="str">
        <f t="shared" si="127"/>
        <v/>
      </c>
      <c r="S148" s="262" t="str">
        <f t="shared" si="128"/>
        <v/>
      </c>
      <c r="T148" s="262" t="str">
        <f t="shared" si="129"/>
        <v/>
      </c>
      <c r="U148" s="264" t="str">
        <f t="shared" si="130"/>
        <v/>
      </c>
    </row>
    <row r="149" spans="1:21" x14ac:dyDescent="0.3">
      <c r="A149" s="263">
        <f>8</f>
        <v>8</v>
      </c>
      <c r="B149" s="38"/>
      <c r="C149" s="38"/>
      <c r="D149" s="276"/>
      <c r="E149" s="277"/>
      <c r="F149" s="38"/>
      <c r="G149" s="38"/>
      <c r="H149" s="261">
        <f t="shared" si="118"/>
        <v>0</v>
      </c>
      <c r="I149" s="260">
        <f t="shared" si="131"/>
        <v>0</v>
      </c>
      <c r="J149" s="260">
        <f t="shared" si="120"/>
        <v>0</v>
      </c>
      <c r="K149" s="260">
        <f t="shared" si="121"/>
        <v>0</v>
      </c>
      <c r="L149" s="261">
        <f t="shared" si="122"/>
        <v>0</v>
      </c>
      <c r="M149" s="262">
        <f t="shared" si="123"/>
        <v>0</v>
      </c>
      <c r="N149" s="262">
        <f t="shared" si="132"/>
        <v>0</v>
      </c>
      <c r="O149" s="262" t="e">
        <f t="shared" si="125"/>
        <v>#DIV/0!</v>
      </c>
      <c r="P149" s="262" t="e">
        <f t="shared" si="133"/>
        <v>#DIV/0!</v>
      </c>
      <c r="Q149" s="258"/>
      <c r="R149" s="262" t="str">
        <f t="shared" si="127"/>
        <v/>
      </c>
      <c r="S149" s="262" t="str">
        <f t="shared" si="128"/>
        <v/>
      </c>
      <c r="T149" s="262" t="str">
        <f t="shared" si="129"/>
        <v/>
      </c>
      <c r="U149" s="264" t="str">
        <f t="shared" si="130"/>
        <v/>
      </c>
    </row>
    <row r="150" spans="1:21" x14ac:dyDescent="0.3">
      <c r="A150" s="263">
        <f>8</f>
        <v>8</v>
      </c>
      <c r="B150" s="38"/>
      <c r="C150" s="38"/>
      <c r="D150" s="276"/>
      <c r="E150" s="277"/>
      <c r="F150" s="38"/>
      <c r="G150" s="38"/>
      <c r="H150" s="261">
        <f t="shared" si="118"/>
        <v>0</v>
      </c>
      <c r="I150" s="260">
        <f t="shared" si="131"/>
        <v>0</v>
      </c>
      <c r="J150" s="260">
        <f t="shared" si="120"/>
        <v>0</v>
      </c>
      <c r="K150" s="260">
        <f t="shared" si="121"/>
        <v>0</v>
      </c>
      <c r="L150" s="261">
        <f t="shared" si="122"/>
        <v>0</v>
      </c>
      <c r="M150" s="262">
        <f t="shared" si="123"/>
        <v>0</v>
      </c>
      <c r="N150" s="262">
        <f t="shared" si="132"/>
        <v>0</v>
      </c>
      <c r="O150" s="262" t="e">
        <f t="shared" si="125"/>
        <v>#DIV/0!</v>
      </c>
      <c r="P150" s="262" t="e">
        <f t="shared" si="133"/>
        <v>#DIV/0!</v>
      </c>
      <c r="Q150" s="258"/>
      <c r="R150" s="262" t="str">
        <f t="shared" si="127"/>
        <v/>
      </c>
      <c r="S150" s="262" t="str">
        <f t="shared" si="128"/>
        <v/>
      </c>
      <c r="T150" s="262" t="str">
        <f t="shared" si="129"/>
        <v/>
      </c>
      <c r="U150" s="264" t="str">
        <f t="shared" si="130"/>
        <v/>
      </c>
    </row>
    <row r="151" spans="1:21" x14ac:dyDescent="0.3">
      <c r="A151" s="263">
        <f>8</f>
        <v>8</v>
      </c>
      <c r="B151" s="38"/>
      <c r="C151" s="38"/>
      <c r="D151" s="276"/>
      <c r="E151" s="277"/>
      <c r="F151" s="38"/>
      <c r="G151" s="38"/>
      <c r="H151" s="261">
        <f t="shared" si="118"/>
        <v>0</v>
      </c>
      <c r="I151" s="260">
        <f t="shared" si="131"/>
        <v>0</v>
      </c>
      <c r="J151" s="260">
        <f t="shared" si="120"/>
        <v>0</v>
      </c>
      <c r="K151" s="260">
        <f t="shared" si="121"/>
        <v>0</v>
      </c>
      <c r="L151" s="261">
        <f t="shared" si="122"/>
        <v>0</v>
      </c>
      <c r="M151" s="262">
        <f t="shared" si="123"/>
        <v>0</v>
      </c>
      <c r="N151" s="262">
        <f t="shared" si="132"/>
        <v>0</v>
      </c>
      <c r="O151" s="262" t="e">
        <f t="shared" si="125"/>
        <v>#DIV/0!</v>
      </c>
      <c r="P151" s="262" t="e">
        <f t="shared" si="133"/>
        <v>#DIV/0!</v>
      </c>
      <c r="Q151" s="258"/>
      <c r="R151" s="262" t="str">
        <f t="shared" si="127"/>
        <v/>
      </c>
      <c r="S151" s="262" t="str">
        <f t="shared" si="128"/>
        <v/>
      </c>
      <c r="T151" s="262" t="str">
        <f t="shared" si="129"/>
        <v/>
      </c>
      <c r="U151" s="264" t="str">
        <f t="shared" si="130"/>
        <v/>
      </c>
    </row>
    <row r="152" spans="1:21" x14ac:dyDescent="0.3">
      <c r="A152" s="263">
        <f>8</f>
        <v>8</v>
      </c>
      <c r="B152" s="38"/>
      <c r="C152" s="38"/>
      <c r="D152" s="276"/>
      <c r="E152" s="277"/>
      <c r="F152" s="38"/>
      <c r="G152" s="38"/>
      <c r="H152" s="261">
        <f t="shared" si="118"/>
        <v>0</v>
      </c>
      <c r="I152" s="260">
        <f t="shared" si="131"/>
        <v>0</v>
      </c>
      <c r="J152" s="260">
        <f t="shared" si="120"/>
        <v>0</v>
      </c>
      <c r="K152" s="260">
        <f t="shared" si="121"/>
        <v>0</v>
      </c>
      <c r="L152" s="261">
        <f t="shared" si="122"/>
        <v>0</v>
      </c>
      <c r="M152" s="262">
        <f t="shared" si="123"/>
        <v>0</v>
      </c>
      <c r="N152" s="262">
        <f t="shared" si="132"/>
        <v>0</v>
      </c>
      <c r="O152" s="262" t="e">
        <f t="shared" si="125"/>
        <v>#DIV/0!</v>
      </c>
      <c r="P152" s="262" t="e">
        <f t="shared" si="133"/>
        <v>#DIV/0!</v>
      </c>
      <c r="Q152" s="258"/>
      <c r="R152" s="262" t="str">
        <f t="shared" si="127"/>
        <v/>
      </c>
      <c r="S152" s="262" t="str">
        <f t="shared" si="128"/>
        <v/>
      </c>
      <c r="T152" s="262" t="str">
        <f t="shared" si="129"/>
        <v/>
      </c>
      <c r="U152" s="264" t="str">
        <f t="shared" si="130"/>
        <v/>
      </c>
    </row>
    <row r="153" spans="1:21" x14ac:dyDescent="0.3">
      <c r="A153" s="263">
        <f>8</f>
        <v>8</v>
      </c>
      <c r="B153" s="38"/>
      <c r="C153" s="38"/>
      <c r="D153" s="276"/>
      <c r="E153" s="277"/>
      <c r="F153" s="38"/>
      <c r="G153" s="38"/>
      <c r="H153" s="261">
        <f t="shared" si="118"/>
        <v>0</v>
      </c>
      <c r="I153" s="260">
        <f t="shared" si="131"/>
        <v>0</v>
      </c>
      <c r="J153" s="260">
        <f t="shared" si="120"/>
        <v>0</v>
      </c>
      <c r="K153" s="260">
        <f t="shared" si="121"/>
        <v>0</v>
      </c>
      <c r="L153" s="261">
        <f t="shared" si="122"/>
        <v>0</v>
      </c>
      <c r="M153" s="262">
        <f t="shared" si="123"/>
        <v>0</v>
      </c>
      <c r="N153" s="262">
        <f t="shared" si="132"/>
        <v>0</v>
      </c>
      <c r="O153" s="262" t="e">
        <f t="shared" si="125"/>
        <v>#DIV/0!</v>
      </c>
      <c r="P153" s="262" t="e">
        <f t="shared" si="133"/>
        <v>#DIV/0!</v>
      </c>
      <c r="Q153" s="258"/>
      <c r="R153" s="262" t="str">
        <f t="shared" si="127"/>
        <v/>
      </c>
      <c r="S153" s="262" t="str">
        <f t="shared" si="128"/>
        <v/>
      </c>
      <c r="T153" s="262" t="str">
        <f t="shared" si="129"/>
        <v/>
      </c>
      <c r="U153" s="264" t="str">
        <f t="shared" si="130"/>
        <v/>
      </c>
    </row>
    <row r="154" spans="1:21" x14ac:dyDescent="0.3">
      <c r="A154" s="263">
        <f>8</f>
        <v>8</v>
      </c>
      <c r="B154" s="38"/>
      <c r="C154" s="38"/>
      <c r="D154" s="276"/>
      <c r="E154" s="277"/>
      <c r="F154" s="38"/>
      <c r="G154" s="38"/>
      <c r="H154" s="261">
        <f t="shared" si="118"/>
        <v>0</v>
      </c>
      <c r="I154" s="260">
        <f t="shared" si="131"/>
        <v>0</v>
      </c>
      <c r="J154" s="260">
        <f t="shared" si="120"/>
        <v>0</v>
      </c>
      <c r="K154" s="260">
        <f t="shared" si="121"/>
        <v>0</v>
      </c>
      <c r="L154" s="261">
        <f t="shared" si="122"/>
        <v>0</v>
      </c>
      <c r="M154" s="262">
        <f t="shared" si="123"/>
        <v>0</v>
      </c>
      <c r="N154" s="262">
        <f t="shared" si="132"/>
        <v>0</v>
      </c>
      <c r="O154" s="262" t="e">
        <f t="shared" si="125"/>
        <v>#DIV/0!</v>
      </c>
      <c r="P154" s="262" t="e">
        <f t="shared" si="133"/>
        <v>#DIV/0!</v>
      </c>
      <c r="Q154" s="258"/>
      <c r="R154" s="262" t="str">
        <f t="shared" si="127"/>
        <v/>
      </c>
      <c r="S154" s="262" t="str">
        <f t="shared" si="128"/>
        <v/>
      </c>
      <c r="T154" s="262" t="str">
        <f t="shared" si="129"/>
        <v/>
      </c>
      <c r="U154" s="264" t="str">
        <f t="shared" si="130"/>
        <v/>
      </c>
    </row>
    <row r="155" spans="1:21" x14ac:dyDescent="0.3">
      <c r="A155" s="263">
        <f>8</f>
        <v>8</v>
      </c>
      <c r="B155" s="38"/>
      <c r="C155" s="38"/>
      <c r="D155" s="276"/>
      <c r="E155" s="277"/>
      <c r="F155" s="38"/>
      <c r="G155" s="38"/>
      <c r="H155" s="261">
        <f t="shared" si="118"/>
        <v>0</v>
      </c>
      <c r="I155" s="260">
        <f t="shared" si="131"/>
        <v>0</v>
      </c>
      <c r="J155" s="260">
        <f t="shared" si="120"/>
        <v>0</v>
      </c>
      <c r="K155" s="260">
        <f t="shared" si="121"/>
        <v>0</v>
      </c>
      <c r="L155" s="261">
        <f t="shared" si="122"/>
        <v>0</v>
      </c>
      <c r="M155" s="262">
        <f t="shared" si="123"/>
        <v>0</v>
      </c>
      <c r="N155" s="262">
        <f t="shared" si="132"/>
        <v>0</v>
      </c>
      <c r="O155" s="262" t="e">
        <f t="shared" si="125"/>
        <v>#DIV/0!</v>
      </c>
      <c r="P155" s="262" t="e">
        <f t="shared" si="133"/>
        <v>#DIV/0!</v>
      </c>
      <c r="Q155" s="258"/>
      <c r="R155" s="262" t="str">
        <f t="shared" si="127"/>
        <v/>
      </c>
      <c r="S155" s="262" t="str">
        <f t="shared" si="128"/>
        <v/>
      </c>
      <c r="T155" s="262" t="str">
        <f t="shared" si="129"/>
        <v/>
      </c>
      <c r="U155" s="264" t="str">
        <f t="shared" si="130"/>
        <v/>
      </c>
    </row>
    <row r="156" spans="1:21" x14ac:dyDescent="0.3">
      <c r="B156" s="4" t="s">
        <v>139</v>
      </c>
      <c r="C156" s="253">
        <f>COUNT(B146:B155)</f>
        <v>0</v>
      </c>
      <c r="D156" s="4"/>
      <c r="F156" s="28"/>
      <c r="G156" s="28"/>
      <c r="H156" s="28"/>
      <c r="I156" s="72"/>
      <c r="J156" s="72"/>
      <c r="K156" s="36"/>
      <c r="L156" s="12"/>
      <c r="M156" s="93"/>
      <c r="N156" s="93"/>
      <c r="O156" s="254" t="e">
        <f>SUM(O146:O155)</f>
        <v>#DIV/0!</v>
      </c>
      <c r="P156" s="254" t="e">
        <f>SUM(P146:P155)</f>
        <v>#DIV/0!</v>
      </c>
      <c r="Q156" s="26"/>
      <c r="R156" s="254">
        <f>SUM(R146:R155)</f>
        <v>0</v>
      </c>
      <c r="S156" s="256">
        <f>SUM(S146:S155)</f>
        <v>0</v>
      </c>
      <c r="T156" s="256">
        <f>SUM(T146:T155)</f>
        <v>0</v>
      </c>
      <c r="U156" s="256">
        <f>SUM(U146:U155)</f>
        <v>0</v>
      </c>
    </row>
    <row r="157" spans="1:21" x14ac:dyDescent="0.3">
      <c r="T157" s="128"/>
      <c r="U157" s="128"/>
    </row>
    <row r="158" spans="1:21" x14ac:dyDescent="0.3">
      <c r="T158" s="128"/>
      <c r="U158" s="128"/>
    </row>
    <row r="159" spans="1:21" x14ac:dyDescent="0.3">
      <c r="T159" s="128"/>
      <c r="U159" s="128"/>
    </row>
    <row r="160" spans="1:21" x14ac:dyDescent="0.3">
      <c r="T160" s="128"/>
      <c r="U160" s="128"/>
    </row>
    <row r="161" spans="1:21" x14ac:dyDescent="0.3">
      <c r="A161" s="3"/>
      <c r="C161" s="119" t="s">
        <v>826</v>
      </c>
      <c r="D161" s="280"/>
      <c r="E161" s="279"/>
      <c r="F161" s="251" t="s">
        <v>825</v>
      </c>
      <c r="G161" s="87"/>
      <c r="H161" s="95"/>
      <c r="I161" s="251" t="s">
        <v>802</v>
      </c>
      <c r="J161" s="87"/>
      <c r="K161" s="4"/>
      <c r="L161" s="33"/>
      <c r="M161" s="72"/>
      <c r="N161" s="270"/>
      <c r="O161" s="119" t="s">
        <v>803</v>
      </c>
      <c r="P161" s="271"/>
      <c r="R161" s="35"/>
      <c r="S161" s="243" t="s">
        <v>827</v>
      </c>
      <c r="T161" s="259"/>
      <c r="U161" s="255"/>
    </row>
    <row r="162" spans="1:21" ht="34.5" x14ac:dyDescent="0.3">
      <c r="A162" s="266" t="s">
        <v>135</v>
      </c>
      <c r="B162" s="335" t="s">
        <v>143</v>
      </c>
      <c r="C162" s="272" t="s">
        <v>412</v>
      </c>
      <c r="D162" s="274" t="s">
        <v>1031</v>
      </c>
      <c r="E162" s="275" t="s">
        <v>157</v>
      </c>
      <c r="F162" s="269" t="s">
        <v>1029</v>
      </c>
      <c r="G162" s="269" t="s">
        <v>1030</v>
      </c>
      <c r="H162" s="269" t="s">
        <v>413</v>
      </c>
      <c r="I162" s="269" t="s">
        <v>414</v>
      </c>
      <c r="J162" s="269" t="s">
        <v>415</v>
      </c>
      <c r="K162" s="269" t="s">
        <v>795</v>
      </c>
      <c r="L162" s="269" t="s">
        <v>153</v>
      </c>
      <c r="M162" s="269" t="s">
        <v>416</v>
      </c>
      <c r="N162" s="269" t="s">
        <v>796</v>
      </c>
      <c r="O162" s="269" t="s">
        <v>159</v>
      </c>
      <c r="P162" s="269" t="s">
        <v>160</v>
      </c>
      <c r="Q162" s="257" t="s">
        <v>824</v>
      </c>
      <c r="R162" s="269" t="s">
        <v>137</v>
      </c>
      <c r="S162" s="269" t="s">
        <v>138</v>
      </c>
      <c r="T162" s="269" t="s">
        <v>161</v>
      </c>
      <c r="U162" s="269" t="s">
        <v>162</v>
      </c>
    </row>
    <row r="163" spans="1:21" x14ac:dyDescent="0.3">
      <c r="A163" s="263">
        <f>9</f>
        <v>9</v>
      </c>
      <c r="B163" s="276"/>
      <c r="C163" s="38"/>
      <c r="D163" s="276"/>
      <c r="E163" s="277"/>
      <c r="F163" s="38"/>
      <c r="G163" s="38"/>
      <c r="H163" s="261">
        <f t="shared" ref="H163" si="134">D163*0.5</f>
        <v>0</v>
      </c>
      <c r="I163" s="260">
        <f t="shared" ref="I163" si="135">(3.14*(H163*H163)*C163)/1000</f>
        <v>0</v>
      </c>
      <c r="J163" s="260">
        <f t="shared" ref="J163:J172" si="136">((PI()*(F163*0.5)*(G163*0.5)*E163)/3)/1000</f>
        <v>0</v>
      </c>
      <c r="K163" s="260">
        <f t="shared" ref="K163:K172" si="137">I163+J163</f>
        <v>0</v>
      </c>
      <c r="L163" s="261">
        <f t="shared" ref="L163:L172" si="138">IF(B163=1,$G$11,IF(B163=2,$G$12,IF(B163=3,$G$13,IF(B163=4,$G$14,))))</f>
        <v>0</v>
      </c>
      <c r="M163" s="262">
        <f t="shared" ref="M163:M172" si="139">IF(B163=1,$D$11,IF(B163=2,$D$12,IF(B163=3,$D$13,IF(B163=4,$D$14,))))</f>
        <v>0</v>
      </c>
      <c r="N163" s="262">
        <f t="shared" ref="N163" si="140">(K163*M163)*L163</f>
        <v>0</v>
      </c>
      <c r="O163" s="262" t="e">
        <f t="shared" ref="O163:O172" si="141">N163*(1/$B$6)</f>
        <v>#DIV/0!</v>
      </c>
      <c r="P163" s="262" t="e">
        <f t="shared" ref="P163" si="142">O163/1000</f>
        <v>#DIV/0!</v>
      </c>
      <c r="Q163" s="258"/>
      <c r="R163" s="262" t="str">
        <f t="shared" ref="R163:R172" si="143">IF(B163=1, P163,"")</f>
        <v/>
      </c>
      <c r="S163" s="262" t="str">
        <f t="shared" ref="S163:S172" si="144">IF(B163=2, P163,"")</f>
        <v/>
      </c>
      <c r="T163" s="262" t="str">
        <f t="shared" ref="T163:T172" si="145">IF(B163=3, P163,"")</f>
        <v/>
      </c>
      <c r="U163" s="264" t="str">
        <f t="shared" ref="U163:U172" si="146">IF(B163=4, P163,"")</f>
        <v/>
      </c>
    </row>
    <row r="164" spans="1:21" x14ac:dyDescent="0.3">
      <c r="A164" s="263">
        <f>9</f>
        <v>9</v>
      </c>
      <c r="B164" s="38"/>
      <c r="C164" s="38"/>
      <c r="D164" s="276"/>
      <c r="E164" s="277"/>
      <c r="F164" s="38"/>
      <c r="G164" s="38"/>
      <c r="H164" s="261">
        <f t="shared" ref="H164:H172" si="147">D164*0.5</f>
        <v>0</v>
      </c>
      <c r="I164" s="260">
        <f t="shared" ref="I164:I172" si="148">(3.14*(H164*H164)*C164)/1000</f>
        <v>0</v>
      </c>
      <c r="J164" s="260">
        <f t="shared" si="136"/>
        <v>0</v>
      </c>
      <c r="K164" s="260">
        <f t="shared" si="137"/>
        <v>0</v>
      </c>
      <c r="L164" s="261">
        <f t="shared" si="138"/>
        <v>0</v>
      </c>
      <c r="M164" s="262">
        <f t="shared" si="139"/>
        <v>0</v>
      </c>
      <c r="N164" s="262">
        <f t="shared" ref="N164:N172" si="149">(K164*M164)*L164</f>
        <v>0</v>
      </c>
      <c r="O164" s="262" t="e">
        <f t="shared" si="141"/>
        <v>#DIV/0!</v>
      </c>
      <c r="P164" s="262" t="e">
        <f t="shared" ref="P164:P172" si="150">O164/1000</f>
        <v>#DIV/0!</v>
      </c>
      <c r="Q164" s="258"/>
      <c r="R164" s="262" t="str">
        <f t="shared" si="143"/>
        <v/>
      </c>
      <c r="S164" s="262" t="str">
        <f t="shared" si="144"/>
        <v/>
      </c>
      <c r="T164" s="262" t="str">
        <f t="shared" si="145"/>
        <v/>
      </c>
      <c r="U164" s="264" t="str">
        <f t="shared" si="146"/>
        <v/>
      </c>
    </row>
    <row r="165" spans="1:21" x14ac:dyDescent="0.3">
      <c r="A165" s="263">
        <f>9</f>
        <v>9</v>
      </c>
      <c r="B165" s="38"/>
      <c r="C165" s="38"/>
      <c r="D165" s="276"/>
      <c r="E165" s="277"/>
      <c r="F165" s="38"/>
      <c r="G165" s="38"/>
      <c r="H165" s="261">
        <f t="shared" si="147"/>
        <v>0</v>
      </c>
      <c r="I165" s="260">
        <f t="shared" si="148"/>
        <v>0</v>
      </c>
      <c r="J165" s="260">
        <f t="shared" si="136"/>
        <v>0</v>
      </c>
      <c r="K165" s="260">
        <f t="shared" si="137"/>
        <v>0</v>
      </c>
      <c r="L165" s="261">
        <f t="shared" si="138"/>
        <v>0</v>
      </c>
      <c r="M165" s="262">
        <f t="shared" si="139"/>
        <v>0</v>
      </c>
      <c r="N165" s="262">
        <f t="shared" si="149"/>
        <v>0</v>
      </c>
      <c r="O165" s="262" t="e">
        <f t="shared" si="141"/>
        <v>#DIV/0!</v>
      </c>
      <c r="P165" s="262" t="e">
        <f t="shared" si="150"/>
        <v>#DIV/0!</v>
      </c>
      <c r="Q165" s="258"/>
      <c r="R165" s="262" t="str">
        <f t="shared" si="143"/>
        <v/>
      </c>
      <c r="S165" s="262" t="str">
        <f t="shared" si="144"/>
        <v/>
      </c>
      <c r="T165" s="262" t="str">
        <f t="shared" si="145"/>
        <v/>
      </c>
      <c r="U165" s="264" t="str">
        <f t="shared" si="146"/>
        <v/>
      </c>
    </row>
    <row r="166" spans="1:21" x14ac:dyDescent="0.3">
      <c r="A166" s="263">
        <f>9</f>
        <v>9</v>
      </c>
      <c r="B166" s="38"/>
      <c r="C166" s="38"/>
      <c r="D166" s="276"/>
      <c r="E166" s="277"/>
      <c r="F166" s="38"/>
      <c r="G166" s="38"/>
      <c r="H166" s="261">
        <f t="shared" si="147"/>
        <v>0</v>
      </c>
      <c r="I166" s="260">
        <f t="shared" si="148"/>
        <v>0</v>
      </c>
      <c r="J166" s="260">
        <f t="shared" si="136"/>
        <v>0</v>
      </c>
      <c r="K166" s="260">
        <f t="shared" si="137"/>
        <v>0</v>
      </c>
      <c r="L166" s="261">
        <f t="shared" si="138"/>
        <v>0</v>
      </c>
      <c r="M166" s="262">
        <f t="shared" si="139"/>
        <v>0</v>
      </c>
      <c r="N166" s="262">
        <f t="shared" si="149"/>
        <v>0</v>
      </c>
      <c r="O166" s="262" t="e">
        <f t="shared" si="141"/>
        <v>#DIV/0!</v>
      </c>
      <c r="P166" s="262" t="e">
        <f t="shared" si="150"/>
        <v>#DIV/0!</v>
      </c>
      <c r="Q166" s="258"/>
      <c r="R166" s="262" t="str">
        <f t="shared" si="143"/>
        <v/>
      </c>
      <c r="S166" s="262" t="str">
        <f t="shared" si="144"/>
        <v/>
      </c>
      <c r="T166" s="262" t="str">
        <f t="shared" si="145"/>
        <v/>
      </c>
      <c r="U166" s="264" t="str">
        <f t="shared" si="146"/>
        <v/>
      </c>
    </row>
    <row r="167" spans="1:21" x14ac:dyDescent="0.3">
      <c r="A167" s="263">
        <f>9</f>
        <v>9</v>
      </c>
      <c r="B167" s="38"/>
      <c r="C167" s="38"/>
      <c r="D167" s="276"/>
      <c r="E167" s="277"/>
      <c r="F167" s="38"/>
      <c r="G167" s="38"/>
      <c r="H167" s="261">
        <f t="shared" si="147"/>
        <v>0</v>
      </c>
      <c r="I167" s="260">
        <f t="shared" si="148"/>
        <v>0</v>
      </c>
      <c r="J167" s="260">
        <f t="shared" si="136"/>
        <v>0</v>
      </c>
      <c r="K167" s="260">
        <f t="shared" si="137"/>
        <v>0</v>
      </c>
      <c r="L167" s="261">
        <f t="shared" si="138"/>
        <v>0</v>
      </c>
      <c r="M167" s="262">
        <f t="shared" si="139"/>
        <v>0</v>
      </c>
      <c r="N167" s="262">
        <f t="shared" si="149"/>
        <v>0</v>
      </c>
      <c r="O167" s="262" t="e">
        <f t="shared" si="141"/>
        <v>#DIV/0!</v>
      </c>
      <c r="P167" s="262" t="e">
        <f t="shared" si="150"/>
        <v>#DIV/0!</v>
      </c>
      <c r="Q167" s="258"/>
      <c r="R167" s="262" t="str">
        <f t="shared" si="143"/>
        <v/>
      </c>
      <c r="S167" s="262" t="str">
        <f t="shared" si="144"/>
        <v/>
      </c>
      <c r="T167" s="262" t="str">
        <f t="shared" si="145"/>
        <v/>
      </c>
      <c r="U167" s="264" t="str">
        <f t="shared" si="146"/>
        <v/>
      </c>
    </row>
    <row r="168" spans="1:21" x14ac:dyDescent="0.3">
      <c r="A168" s="263">
        <f>9</f>
        <v>9</v>
      </c>
      <c r="B168" s="38"/>
      <c r="C168" s="38"/>
      <c r="D168" s="276"/>
      <c r="E168" s="277"/>
      <c r="F168" s="38"/>
      <c r="G168" s="38"/>
      <c r="H168" s="261">
        <f t="shared" si="147"/>
        <v>0</v>
      </c>
      <c r="I168" s="260">
        <f t="shared" si="148"/>
        <v>0</v>
      </c>
      <c r="J168" s="260">
        <f t="shared" si="136"/>
        <v>0</v>
      </c>
      <c r="K168" s="260">
        <f t="shared" si="137"/>
        <v>0</v>
      </c>
      <c r="L168" s="261">
        <f t="shared" si="138"/>
        <v>0</v>
      </c>
      <c r="M168" s="262">
        <f t="shared" si="139"/>
        <v>0</v>
      </c>
      <c r="N168" s="262">
        <f t="shared" si="149"/>
        <v>0</v>
      </c>
      <c r="O168" s="262" t="e">
        <f t="shared" si="141"/>
        <v>#DIV/0!</v>
      </c>
      <c r="P168" s="262" t="e">
        <f t="shared" si="150"/>
        <v>#DIV/0!</v>
      </c>
      <c r="Q168" s="258"/>
      <c r="R168" s="262" t="str">
        <f t="shared" si="143"/>
        <v/>
      </c>
      <c r="S168" s="262" t="str">
        <f t="shared" si="144"/>
        <v/>
      </c>
      <c r="T168" s="262" t="str">
        <f t="shared" si="145"/>
        <v/>
      </c>
      <c r="U168" s="264" t="str">
        <f t="shared" si="146"/>
        <v/>
      </c>
    </row>
    <row r="169" spans="1:21" x14ac:dyDescent="0.3">
      <c r="A169" s="263">
        <f>9</f>
        <v>9</v>
      </c>
      <c r="B169" s="38"/>
      <c r="C169" s="38"/>
      <c r="D169" s="276"/>
      <c r="E169" s="277"/>
      <c r="F169" s="38"/>
      <c r="G169" s="38"/>
      <c r="H169" s="261">
        <f t="shared" si="147"/>
        <v>0</v>
      </c>
      <c r="I169" s="260">
        <f t="shared" si="148"/>
        <v>0</v>
      </c>
      <c r="J169" s="260">
        <f t="shared" si="136"/>
        <v>0</v>
      </c>
      <c r="K169" s="260">
        <f t="shared" si="137"/>
        <v>0</v>
      </c>
      <c r="L169" s="261">
        <f t="shared" si="138"/>
        <v>0</v>
      </c>
      <c r="M169" s="262">
        <f t="shared" si="139"/>
        <v>0</v>
      </c>
      <c r="N169" s="262">
        <f t="shared" si="149"/>
        <v>0</v>
      </c>
      <c r="O169" s="262" t="e">
        <f t="shared" si="141"/>
        <v>#DIV/0!</v>
      </c>
      <c r="P169" s="262" t="e">
        <f t="shared" si="150"/>
        <v>#DIV/0!</v>
      </c>
      <c r="Q169" s="258"/>
      <c r="R169" s="262" t="str">
        <f t="shared" si="143"/>
        <v/>
      </c>
      <c r="S169" s="262" t="str">
        <f t="shared" si="144"/>
        <v/>
      </c>
      <c r="T169" s="262" t="str">
        <f t="shared" si="145"/>
        <v/>
      </c>
      <c r="U169" s="264" t="str">
        <f t="shared" si="146"/>
        <v/>
      </c>
    </row>
    <row r="170" spans="1:21" x14ac:dyDescent="0.3">
      <c r="A170" s="263">
        <f>9</f>
        <v>9</v>
      </c>
      <c r="B170" s="38"/>
      <c r="C170" s="38"/>
      <c r="D170" s="276"/>
      <c r="E170" s="277"/>
      <c r="F170" s="38"/>
      <c r="G170" s="38"/>
      <c r="H170" s="261">
        <f t="shared" si="147"/>
        <v>0</v>
      </c>
      <c r="I170" s="260">
        <f t="shared" si="148"/>
        <v>0</v>
      </c>
      <c r="J170" s="260">
        <f t="shared" si="136"/>
        <v>0</v>
      </c>
      <c r="K170" s="260">
        <f t="shared" si="137"/>
        <v>0</v>
      </c>
      <c r="L170" s="261">
        <f t="shared" si="138"/>
        <v>0</v>
      </c>
      <c r="M170" s="262">
        <f t="shared" si="139"/>
        <v>0</v>
      </c>
      <c r="N170" s="262">
        <f t="shared" si="149"/>
        <v>0</v>
      </c>
      <c r="O170" s="262" t="e">
        <f t="shared" si="141"/>
        <v>#DIV/0!</v>
      </c>
      <c r="P170" s="262" t="e">
        <f t="shared" si="150"/>
        <v>#DIV/0!</v>
      </c>
      <c r="Q170" s="258"/>
      <c r="R170" s="262" t="str">
        <f t="shared" si="143"/>
        <v/>
      </c>
      <c r="S170" s="262" t="str">
        <f t="shared" si="144"/>
        <v/>
      </c>
      <c r="T170" s="262" t="str">
        <f t="shared" si="145"/>
        <v/>
      </c>
      <c r="U170" s="264" t="str">
        <f t="shared" si="146"/>
        <v/>
      </c>
    </row>
    <row r="171" spans="1:21" x14ac:dyDescent="0.3">
      <c r="A171" s="263">
        <f>9</f>
        <v>9</v>
      </c>
      <c r="B171" s="38"/>
      <c r="C171" s="38"/>
      <c r="D171" s="276"/>
      <c r="E171" s="277"/>
      <c r="F171" s="38"/>
      <c r="G171" s="38"/>
      <c r="H171" s="261">
        <f t="shared" si="147"/>
        <v>0</v>
      </c>
      <c r="I171" s="260">
        <f t="shared" si="148"/>
        <v>0</v>
      </c>
      <c r="J171" s="260">
        <f t="shared" si="136"/>
        <v>0</v>
      </c>
      <c r="K171" s="260">
        <f t="shared" si="137"/>
        <v>0</v>
      </c>
      <c r="L171" s="261">
        <f t="shared" si="138"/>
        <v>0</v>
      </c>
      <c r="M171" s="262">
        <f t="shared" si="139"/>
        <v>0</v>
      </c>
      <c r="N171" s="262">
        <f t="shared" si="149"/>
        <v>0</v>
      </c>
      <c r="O171" s="262" t="e">
        <f t="shared" si="141"/>
        <v>#DIV/0!</v>
      </c>
      <c r="P171" s="262" t="e">
        <f t="shared" si="150"/>
        <v>#DIV/0!</v>
      </c>
      <c r="Q171" s="258"/>
      <c r="R171" s="262" t="str">
        <f t="shared" si="143"/>
        <v/>
      </c>
      <c r="S171" s="262" t="str">
        <f t="shared" si="144"/>
        <v/>
      </c>
      <c r="T171" s="262" t="str">
        <f t="shared" si="145"/>
        <v/>
      </c>
      <c r="U171" s="264" t="str">
        <f t="shared" si="146"/>
        <v/>
      </c>
    </row>
    <row r="172" spans="1:21" x14ac:dyDescent="0.3">
      <c r="A172" s="263">
        <f>9</f>
        <v>9</v>
      </c>
      <c r="B172" s="38"/>
      <c r="C172" s="38"/>
      <c r="D172" s="276"/>
      <c r="E172" s="277"/>
      <c r="F172" s="38"/>
      <c r="G172" s="38"/>
      <c r="H172" s="261">
        <f t="shared" si="147"/>
        <v>0</v>
      </c>
      <c r="I172" s="260">
        <f t="shared" si="148"/>
        <v>0</v>
      </c>
      <c r="J172" s="260">
        <f t="shared" si="136"/>
        <v>0</v>
      </c>
      <c r="K172" s="260">
        <f t="shared" si="137"/>
        <v>0</v>
      </c>
      <c r="L172" s="261">
        <f t="shared" si="138"/>
        <v>0</v>
      </c>
      <c r="M172" s="262">
        <f t="shared" si="139"/>
        <v>0</v>
      </c>
      <c r="N172" s="262">
        <f t="shared" si="149"/>
        <v>0</v>
      </c>
      <c r="O172" s="262" t="e">
        <f t="shared" si="141"/>
        <v>#DIV/0!</v>
      </c>
      <c r="P172" s="262" t="e">
        <f t="shared" si="150"/>
        <v>#DIV/0!</v>
      </c>
      <c r="Q172" s="258"/>
      <c r="R172" s="262" t="str">
        <f t="shared" si="143"/>
        <v/>
      </c>
      <c r="S172" s="262" t="str">
        <f t="shared" si="144"/>
        <v/>
      </c>
      <c r="T172" s="262" t="str">
        <f t="shared" si="145"/>
        <v/>
      </c>
      <c r="U172" s="264" t="str">
        <f t="shared" si="146"/>
        <v/>
      </c>
    </row>
    <row r="173" spans="1:21" x14ac:dyDescent="0.3">
      <c r="B173" s="4" t="s">
        <v>139</v>
      </c>
      <c r="C173" s="253">
        <f>COUNT(B163:B172)</f>
        <v>0</v>
      </c>
      <c r="D173" s="4"/>
      <c r="F173" s="28"/>
      <c r="G173" s="28"/>
      <c r="H173" s="28"/>
      <c r="I173" s="72"/>
      <c r="J173" s="72"/>
      <c r="K173" s="36"/>
      <c r="L173" s="12"/>
      <c r="M173" s="93"/>
      <c r="N173" s="93"/>
      <c r="O173" s="254" t="e">
        <f>SUM(O163:O172)</f>
        <v>#DIV/0!</v>
      </c>
      <c r="P173" s="254" t="e">
        <f>SUM(P163:P172)</f>
        <v>#DIV/0!</v>
      </c>
      <c r="Q173" s="26"/>
      <c r="R173" s="254">
        <f>SUM(R163:R172)</f>
        <v>0</v>
      </c>
      <c r="S173" s="256">
        <f>SUM(S163:S172)</f>
        <v>0</v>
      </c>
      <c r="T173" s="256">
        <f>SUM(T163:T172)</f>
        <v>0</v>
      </c>
      <c r="U173" s="256">
        <f>SUM(U163:U172)</f>
        <v>0</v>
      </c>
    </row>
    <row r="174" spans="1:21" x14ac:dyDescent="0.3">
      <c r="T174" s="128"/>
      <c r="U174" s="128"/>
    </row>
    <row r="175" spans="1:21" x14ac:dyDescent="0.3">
      <c r="T175" s="128"/>
      <c r="U175" s="128"/>
    </row>
    <row r="176" spans="1:21" x14ac:dyDescent="0.3">
      <c r="T176" s="128"/>
      <c r="U176" s="128"/>
    </row>
    <row r="177" spans="1:21" x14ac:dyDescent="0.3">
      <c r="T177" s="128"/>
      <c r="U177" s="128"/>
    </row>
    <row r="178" spans="1:21" x14ac:dyDescent="0.3">
      <c r="A178" s="3"/>
      <c r="C178" s="119" t="s">
        <v>826</v>
      </c>
      <c r="D178" s="280"/>
      <c r="E178" s="279"/>
      <c r="F178" s="251" t="s">
        <v>825</v>
      </c>
      <c r="G178" s="87"/>
      <c r="H178" s="95"/>
      <c r="I178" s="251" t="s">
        <v>802</v>
      </c>
      <c r="J178" s="87"/>
      <c r="K178" s="4"/>
      <c r="L178" s="33"/>
      <c r="M178" s="72"/>
      <c r="N178" s="270"/>
      <c r="O178" s="119" t="s">
        <v>803</v>
      </c>
      <c r="P178" s="271"/>
      <c r="R178" s="35"/>
      <c r="S178" s="243" t="s">
        <v>827</v>
      </c>
      <c r="T178" s="259"/>
      <c r="U178" s="255"/>
    </row>
    <row r="179" spans="1:21" ht="34.5" x14ac:dyDescent="0.3">
      <c r="A179" s="266" t="s">
        <v>135</v>
      </c>
      <c r="B179" s="335" t="s">
        <v>143</v>
      </c>
      <c r="C179" s="272" t="s">
        <v>412</v>
      </c>
      <c r="D179" s="274" t="s">
        <v>1031</v>
      </c>
      <c r="E179" s="275" t="s">
        <v>157</v>
      </c>
      <c r="F179" s="269" t="s">
        <v>1029</v>
      </c>
      <c r="G179" s="269" t="s">
        <v>1030</v>
      </c>
      <c r="H179" s="269" t="s">
        <v>413</v>
      </c>
      <c r="I179" s="269" t="s">
        <v>414</v>
      </c>
      <c r="J179" s="269" t="s">
        <v>415</v>
      </c>
      <c r="K179" s="269" t="s">
        <v>795</v>
      </c>
      <c r="L179" s="269" t="s">
        <v>153</v>
      </c>
      <c r="M179" s="269" t="s">
        <v>416</v>
      </c>
      <c r="N179" s="269" t="s">
        <v>796</v>
      </c>
      <c r="O179" s="269" t="s">
        <v>159</v>
      </c>
      <c r="P179" s="269" t="s">
        <v>160</v>
      </c>
      <c r="Q179" s="257" t="s">
        <v>824</v>
      </c>
      <c r="R179" s="269" t="s">
        <v>137</v>
      </c>
      <c r="S179" s="269" t="s">
        <v>138</v>
      </c>
      <c r="T179" s="269" t="s">
        <v>161</v>
      </c>
      <c r="U179" s="269" t="s">
        <v>162</v>
      </c>
    </row>
    <row r="180" spans="1:21" x14ac:dyDescent="0.3">
      <c r="A180" s="263">
        <f>10</f>
        <v>10</v>
      </c>
      <c r="B180" s="38"/>
      <c r="C180" s="38"/>
      <c r="D180" s="276"/>
      <c r="E180" s="277"/>
      <c r="F180" s="38"/>
      <c r="G180" s="38"/>
      <c r="H180" s="261">
        <f t="shared" ref="H180" si="151">D180*0.5</f>
        <v>0</v>
      </c>
      <c r="I180" s="260">
        <f t="shared" ref="I180" si="152">(3.14*(H180*H180)*C180)/1000</f>
        <v>0</v>
      </c>
      <c r="J180" s="260">
        <f t="shared" ref="J180" si="153">((PI()*(F180*0.5)*(G180*0.5)*E180)/3)/1000</f>
        <v>0</v>
      </c>
      <c r="K180" s="260">
        <f t="shared" ref="K180" si="154">I180+J180</f>
        <v>0</v>
      </c>
      <c r="L180" s="261">
        <f t="shared" ref="L180" si="155">IF(B180=1,$G$11,IF(B180=2,$G$12,IF(B180=3,$G$13,IF(B180=4,$G$14,))))</f>
        <v>0</v>
      </c>
      <c r="M180" s="262">
        <f t="shared" ref="M180" si="156">IF(B180=1,$D$11,IF(B180=2,$D$12,IF(B180=3,$D$13,IF(B180=4,$D$14,))))</f>
        <v>0</v>
      </c>
      <c r="N180" s="262">
        <f t="shared" ref="N180" si="157">(K180*M180)*L180</f>
        <v>0</v>
      </c>
      <c r="O180" s="262" t="e">
        <f t="shared" ref="O180" si="158">N180*(1/$B$6)</f>
        <v>#DIV/0!</v>
      </c>
      <c r="P180" s="262" t="e">
        <f t="shared" ref="P180" si="159">O180/1000</f>
        <v>#DIV/0!</v>
      </c>
      <c r="Q180" s="258"/>
      <c r="R180" s="262" t="str">
        <f t="shared" ref="R180" si="160">IF(B180=1, P180,"")</f>
        <v/>
      </c>
      <c r="S180" s="262" t="str">
        <f t="shared" ref="S180" si="161">IF(B180=2, P180,"")</f>
        <v/>
      </c>
      <c r="T180" s="262" t="str">
        <f t="shared" ref="T180" si="162">IF(B180=3, P180,"")</f>
        <v/>
      </c>
      <c r="U180" s="264" t="str">
        <f t="shared" ref="U180" si="163">IF(B180=4, P180,"")</f>
        <v/>
      </c>
    </row>
    <row r="181" spans="1:21" x14ac:dyDescent="0.3">
      <c r="A181" s="263">
        <f>10</f>
        <v>10</v>
      </c>
      <c r="B181" s="38"/>
      <c r="C181" s="38"/>
      <c r="D181" s="276"/>
      <c r="E181" s="277"/>
      <c r="F181" s="38"/>
      <c r="G181" s="38"/>
      <c r="H181" s="261">
        <f t="shared" ref="H181:H189" si="164">D181*0.5</f>
        <v>0</v>
      </c>
      <c r="I181" s="260">
        <f t="shared" ref="I181:I189" si="165">(3.14*(H181*H181)*C181)/1000</f>
        <v>0</v>
      </c>
      <c r="J181" s="260">
        <f t="shared" ref="J181:J189" si="166">((PI()*(F181*0.5)*(G181*0.5)*E181)/3)/1000</f>
        <v>0</v>
      </c>
      <c r="K181" s="260">
        <f t="shared" ref="K181:K189" si="167">I181+J181</f>
        <v>0</v>
      </c>
      <c r="L181" s="261">
        <f t="shared" ref="L181:L189" si="168">IF(B181=1,$G$11,IF(B181=2,$G$12,IF(B181=3,$G$13,IF(B181=4,$G$14,))))</f>
        <v>0</v>
      </c>
      <c r="M181" s="262">
        <f t="shared" ref="M181:M189" si="169">IF(B181=1,$D$11,IF(B181=2,$D$12,IF(B181=3,$D$13,IF(B181=4,$D$14,))))</f>
        <v>0</v>
      </c>
      <c r="N181" s="262">
        <f t="shared" ref="N181:N189" si="170">(K181*M181)*L181</f>
        <v>0</v>
      </c>
      <c r="O181" s="262" t="e">
        <f t="shared" ref="O181:O189" si="171">N181*(1/$B$6)</f>
        <v>#DIV/0!</v>
      </c>
      <c r="P181" s="262" t="e">
        <f t="shared" ref="P181:P189" si="172">O181/1000</f>
        <v>#DIV/0!</v>
      </c>
      <c r="Q181" s="258"/>
      <c r="R181" s="262" t="str">
        <f t="shared" ref="R181:R189" si="173">IF(B181=1, P181,"")</f>
        <v/>
      </c>
      <c r="S181" s="262" t="str">
        <f t="shared" ref="S181:S189" si="174">IF(B181=2, P181,"")</f>
        <v/>
      </c>
      <c r="T181" s="262" t="str">
        <f t="shared" ref="T181:T189" si="175">IF(B181=3, P181,"")</f>
        <v/>
      </c>
      <c r="U181" s="264" t="str">
        <f t="shared" ref="U181:U189" si="176">IF(B181=4, P181,"")</f>
        <v/>
      </c>
    </row>
    <row r="182" spans="1:21" x14ac:dyDescent="0.3">
      <c r="A182" s="263">
        <f>10</f>
        <v>10</v>
      </c>
      <c r="B182" s="38"/>
      <c r="C182" s="38"/>
      <c r="D182" s="276"/>
      <c r="E182" s="277"/>
      <c r="F182" s="38"/>
      <c r="G182" s="38"/>
      <c r="H182" s="261">
        <f t="shared" si="164"/>
        <v>0</v>
      </c>
      <c r="I182" s="260">
        <f t="shared" si="165"/>
        <v>0</v>
      </c>
      <c r="J182" s="260">
        <f t="shared" si="166"/>
        <v>0</v>
      </c>
      <c r="K182" s="260">
        <f t="shared" si="167"/>
        <v>0</v>
      </c>
      <c r="L182" s="261">
        <f t="shared" si="168"/>
        <v>0</v>
      </c>
      <c r="M182" s="262">
        <f t="shared" si="169"/>
        <v>0</v>
      </c>
      <c r="N182" s="262">
        <f t="shared" si="170"/>
        <v>0</v>
      </c>
      <c r="O182" s="262" t="e">
        <f t="shared" si="171"/>
        <v>#DIV/0!</v>
      </c>
      <c r="P182" s="262" t="e">
        <f t="shared" si="172"/>
        <v>#DIV/0!</v>
      </c>
      <c r="Q182" s="258"/>
      <c r="R182" s="262" t="str">
        <f t="shared" si="173"/>
        <v/>
      </c>
      <c r="S182" s="262" t="str">
        <f t="shared" si="174"/>
        <v/>
      </c>
      <c r="T182" s="262" t="str">
        <f t="shared" si="175"/>
        <v/>
      </c>
      <c r="U182" s="264" t="str">
        <f t="shared" si="176"/>
        <v/>
      </c>
    </row>
    <row r="183" spans="1:21" x14ac:dyDescent="0.3">
      <c r="A183" s="263">
        <f>10</f>
        <v>10</v>
      </c>
      <c r="B183" s="38"/>
      <c r="C183" s="38"/>
      <c r="D183" s="276"/>
      <c r="E183" s="277"/>
      <c r="F183" s="38"/>
      <c r="G183" s="38"/>
      <c r="H183" s="261">
        <f t="shared" si="164"/>
        <v>0</v>
      </c>
      <c r="I183" s="260">
        <f t="shared" si="165"/>
        <v>0</v>
      </c>
      <c r="J183" s="260">
        <f t="shared" si="166"/>
        <v>0</v>
      </c>
      <c r="K183" s="260">
        <f t="shared" si="167"/>
        <v>0</v>
      </c>
      <c r="L183" s="261">
        <f t="shared" si="168"/>
        <v>0</v>
      </c>
      <c r="M183" s="262">
        <f t="shared" si="169"/>
        <v>0</v>
      </c>
      <c r="N183" s="262">
        <f t="shared" si="170"/>
        <v>0</v>
      </c>
      <c r="O183" s="262" t="e">
        <f t="shared" si="171"/>
        <v>#DIV/0!</v>
      </c>
      <c r="P183" s="262" t="e">
        <f t="shared" si="172"/>
        <v>#DIV/0!</v>
      </c>
      <c r="Q183" s="258"/>
      <c r="R183" s="262" t="str">
        <f t="shared" si="173"/>
        <v/>
      </c>
      <c r="S183" s="262" t="str">
        <f t="shared" si="174"/>
        <v/>
      </c>
      <c r="T183" s="262" t="str">
        <f t="shared" si="175"/>
        <v/>
      </c>
      <c r="U183" s="264" t="str">
        <f t="shared" si="176"/>
        <v/>
      </c>
    </row>
    <row r="184" spans="1:21" x14ac:dyDescent="0.3">
      <c r="A184" s="263">
        <f>10</f>
        <v>10</v>
      </c>
      <c r="B184" s="38"/>
      <c r="C184" s="38"/>
      <c r="D184" s="276"/>
      <c r="E184" s="277"/>
      <c r="F184" s="38"/>
      <c r="G184" s="38"/>
      <c r="H184" s="261">
        <f t="shared" si="164"/>
        <v>0</v>
      </c>
      <c r="I184" s="260">
        <f t="shared" si="165"/>
        <v>0</v>
      </c>
      <c r="J184" s="260">
        <f t="shared" si="166"/>
        <v>0</v>
      </c>
      <c r="K184" s="260">
        <f t="shared" si="167"/>
        <v>0</v>
      </c>
      <c r="L184" s="261">
        <f t="shared" si="168"/>
        <v>0</v>
      </c>
      <c r="M184" s="262">
        <f t="shared" si="169"/>
        <v>0</v>
      </c>
      <c r="N184" s="262">
        <f t="shared" si="170"/>
        <v>0</v>
      </c>
      <c r="O184" s="262" t="e">
        <f t="shared" si="171"/>
        <v>#DIV/0!</v>
      </c>
      <c r="P184" s="262" t="e">
        <f t="shared" si="172"/>
        <v>#DIV/0!</v>
      </c>
      <c r="Q184" s="258"/>
      <c r="R184" s="262" t="str">
        <f t="shared" si="173"/>
        <v/>
      </c>
      <c r="S184" s="262" t="str">
        <f t="shared" si="174"/>
        <v/>
      </c>
      <c r="T184" s="262" t="str">
        <f t="shared" si="175"/>
        <v/>
      </c>
      <c r="U184" s="264" t="str">
        <f t="shared" si="176"/>
        <v/>
      </c>
    </row>
    <row r="185" spans="1:21" x14ac:dyDescent="0.3">
      <c r="A185" s="263">
        <f>10</f>
        <v>10</v>
      </c>
      <c r="B185" s="38"/>
      <c r="C185" s="38"/>
      <c r="D185" s="276"/>
      <c r="E185" s="277"/>
      <c r="F185" s="38"/>
      <c r="G185" s="38"/>
      <c r="H185" s="261">
        <f t="shared" si="164"/>
        <v>0</v>
      </c>
      <c r="I185" s="260">
        <f t="shared" si="165"/>
        <v>0</v>
      </c>
      <c r="J185" s="260">
        <f t="shared" si="166"/>
        <v>0</v>
      </c>
      <c r="K185" s="260">
        <f t="shared" si="167"/>
        <v>0</v>
      </c>
      <c r="L185" s="261">
        <f t="shared" si="168"/>
        <v>0</v>
      </c>
      <c r="M185" s="262">
        <f t="shared" si="169"/>
        <v>0</v>
      </c>
      <c r="N185" s="262">
        <f t="shared" si="170"/>
        <v>0</v>
      </c>
      <c r="O185" s="262" t="e">
        <f t="shared" si="171"/>
        <v>#DIV/0!</v>
      </c>
      <c r="P185" s="262" t="e">
        <f t="shared" si="172"/>
        <v>#DIV/0!</v>
      </c>
      <c r="Q185" s="258"/>
      <c r="R185" s="262" t="str">
        <f t="shared" si="173"/>
        <v/>
      </c>
      <c r="S185" s="262" t="str">
        <f t="shared" si="174"/>
        <v/>
      </c>
      <c r="T185" s="262" t="str">
        <f t="shared" si="175"/>
        <v/>
      </c>
      <c r="U185" s="264" t="str">
        <f t="shared" si="176"/>
        <v/>
      </c>
    </row>
    <row r="186" spans="1:21" x14ac:dyDescent="0.3">
      <c r="A186" s="263">
        <f>10</f>
        <v>10</v>
      </c>
      <c r="B186" s="38"/>
      <c r="C186" s="38"/>
      <c r="D186" s="276"/>
      <c r="E186" s="277"/>
      <c r="F186" s="38"/>
      <c r="G186" s="38"/>
      <c r="H186" s="261">
        <f t="shared" si="164"/>
        <v>0</v>
      </c>
      <c r="I186" s="260">
        <f t="shared" si="165"/>
        <v>0</v>
      </c>
      <c r="J186" s="260">
        <f t="shared" si="166"/>
        <v>0</v>
      </c>
      <c r="K186" s="260">
        <f t="shared" si="167"/>
        <v>0</v>
      </c>
      <c r="L186" s="261">
        <f t="shared" si="168"/>
        <v>0</v>
      </c>
      <c r="M186" s="262">
        <f t="shared" si="169"/>
        <v>0</v>
      </c>
      <c r="N186" s="262">
        <f t="shared" si="170"/>
        <v>0</v>
      </c>
      <c r="O186" s="262" t="e">
        <f t="shared" si="171"/>
        <v>#DIV/0!</v>
      </c>
      <c r="P186" s="262" t="e">
        <f t="shared" si="172"/>
        <v>#DIV/0!</v>
      </c>
      <c r="Q186" s="258"/>
      <c r="R186" s="262" t="str">
        <f t="shared" si="173"/>
        <v/>
      </c>
      <c r="S186" s="262" t="str">
        <f t="shared" si="174"/>
        <v/>
      </c>
      <c r="T186" s="262" t="str">
        <f t="shared" si="175"/>
        <v/>
      </c>
      <c r="U186" s="264" t="str">
        <f t="shared" si="176"/>
        <v/>
      </c>
    </row>
    <row r="187" spans="1:21" x14ac:dyDescent="0.3">
      <c r="A187" s="263">
        <f>10</f>
        <v>10</v>
      </c>
      <c r="B187" s="38"/>
      <c r="C187" s="38"/>
      <c r="D187" s="276"/>
      <c r="E187" s="277"/>
      <c r="F187" s="38"/>
      <c r="G187" s="38"/>
      <c r="H187" s="261">
        <f t="shared" si="164"/>
        <v>0</v>
      </c>
      <c r="I187" s="260">
        <f t="shared" si="165"/>
        <v>0</v>
      </c>
      <c r="J187" s="260">
        <f t="shared" si="166"/>
        <v>0</v>
      </c>
      <c r="K187" s="260">
        <f t="shared" si="167"/>
        <v>0</v>
      </c>
      <c r="L187" s="261">
        <f t="shared" si="168"/>
        <v>0</v>
      </c>
      <c r="M187" s="262">
        <f t="shared" si="169"/>
        <v>0</v>
      </c>
      <c r="N187" s="262">
        <f t="shared" si="170"/>
        <v>0</v>
      </c>
      <c r="O187" s="262" t="e">
        <f t="shared" si="171"/>
        <v>#DIV/0!</v>
      </c>
      <c r="P187" s="262" t="e">
        <f t="shared" si="172"/>
        <v>#DIV/0!</v>
      </c>
      <c r="Q187" s="258"/>
      <c r="R187" s="262" t="str">
        <f t="shared" si="173"/>
        <v/>
      </c>
      <c r="S187" s="262" t="str">
        <f t="shared" si="174"/>
        <v/>
      </c>
      <c r="T187" s="262" t="str">
        <f t="shared" si="175"/>
        <v/>
      </c>
      <c r="U187" s="264" t="str">
        <f t="shared" si="176"/>
        <v/>
      </c>
    </row>
    <row r="188" spans="1:21" x14ac:dyDescent="0.3">
      <c r="A188" s="263">
        <f>10</f>
        <v>10</v>
      </c>
      <c r="B188" s="38"/>
      <c r="C188" s="38"/>
      <c r="D188" s="276"/>
      <c r="E188" s="277"/>
      <c r="F188" s="38"/>
      <c r="G188" s="38"/>
      <c r="H188" s="261">
        <f t="shared" si="164"/>
        <v>0</v>
      </c>
      <c r="I188" s="260">
        <f t="shared" si="165"/>
        <v>0</v>
      </c>
      <c r="J188" s="260">
        <f t="shared" si="166"/>
        <v>0</v>
      </c>
      <c r="K188" s="260">
        <f t="shared" si="167"/>
        <v>0</v>
      </c>
      <c r="L188" s="261">
        <f t="shared" si="168"/>
        <v>0</v>
      </c>
      <c r="M188" s="262">
        <f t="shared" si="169"/>
        <v>0</v>
      </c>
      <c r="N188" s="262">
        <f t="shared" si="170"/>
        <v>0</v>
      </c>
      <c r="O188" s="262" t="e">
        <f t="shared" si="171"/>
        <v>#DIV/0!</v>
      </c>
      <c r="P188" s="262" t="e">
        <f t="shared" si="172"/>
        <v>#DIV/0!</v>
      </c>
      <c r="Q188" s="258"/>
      <c r="R188" s="262" t="str">
        <f t="shared" si="173"/>
        <v/>
      </c>
      <c r="S188" s="262" t="str">
        <f t="shared" si="174"/>
        <v/>
      </c>
      <c r="T188" s="262" t="str">
        <f t="shared" si="175"/>
        <v/>
      </c>
      <c r="U188" s="264" t="str">
        <f t="shared" si="176"/>
        <v/>
      </c>
    </row>
    <row r="189" spans="1:21" x14ac:dyDescent="0.3">
      <c r="A189" s="263">
        <f>10</f>
        <v>10</v>
      </c>
      <c r="B189" s="38"/>
      <c r="C189" s="38"/>
      <c r="D189" s="276"/>
      <c r="E189" s="277"/>
      <c r="F189" s="38"/>
      <c r="G189" s="38"/>
      <c r="H189" s="261">
        <f t="shared" si="164"/>
        <v>0</v>
      </c>
      <c r="I189" s="260">
        <f t="shared" si="165"/>
        <v>0</v>
      </c>
      <c r="J189" s="260">
        <f t="shared" si="166"/>
        <v>0</v>
      </c>
      <c r="K189" s="260">
        <f t="shared" si="167"/>
        <v>0</v>
      </c>
      <c r="L189" s="261">
        <f t="shared" si="168"/>
        <v>0</v>
      </c>
      <c r="M189" s="262">
        <f t="shared" si="169"/>
        <v>0</v>
      </c>
      <c r="N189" s="262">
        <f t="shared" si="170"/>
        <v>0</v>
      </c>
      <c r="O189" s="262" t="e">
        <f t="shared" si="171"/>
        <v>#DIV/0!</v>
      </c>
      <c r="P189" s="262" t="e">
        <f t="shared" si="172"/>
        <v>#DIV/0!</v>
      </c>
      <c r="Q189" s="258"/>
      <c r="R189" s="262" t="str">
        <f t="shared" si="173"/>
        <v/>
      </c>
      <c r="S189" s="262" t="str">
        <f t="shared" si="174"/>
        <v/>
      </c>
      <c r="T189" s="262" t="str">
        <f t="shared" si="175"/>
        <v/>
      </c>
      <c r="U189" s="264" t="str">
        <f t="shared" si="176"/>
        <v/>
      </c>
    </row>
    <row r="190" spans="1:21" x14ac:dyDescent="0.3">
      <c r="B190" s="4" t="s">
        <v>139</v>
      </c>
      <c r="C190" s="253">
        <f>COUNT(B180:B189)</f>
        <v>0</v>
      </c>
      <c r="D190" s="4"/>
      <c r="F190" s="28"/>
      <c r="G190" s="28"/>
      <c r="H190" s="28"/>
      <c r="I190" s="72"/>
      <c r="J190" s="72"/>
      <c r="K190" s="36"/>
      <c r="L190" s="12"/>
      <c r="M190" s="93"/>
      <c r="N190" s="93"/>
      <c r="O190" s="254" t="e">
        <f>SUM(O180:O189)</f>
        <v>#DIV/0!</v>
      </c>
      <c r="P190" s="254" t="e">
        <f>SUM(P180:P189)</f>
        <v>#DIV/0!</v>
      </c>
      <c r="Q190" s="26"/>
      <c r="R190" s="254">
        <f>SUM(R180:R189)</f>
        <v>0</v>
      </c>
      <c r="S190" s="256">
        <f>SUM(S180:S189)</f>
        <v>0</v>
      </c>
      <c r="T190" s="256">
        <f>SUM(T180:T189)</f>
        <v>0</v>
      </c>
      <c r="U190" s="256">
        <f>SUM(U180:U189)</f>
        <v>0</v>
      </c>
    </row>
    <row r="191" spans="1:21" x14ac:dyDescent="0.3">
      <c r="B191" s="4"/>
      <c r="C191" s="4"/>
      <c r="D191" s="4"/>
      <c r="E191" s="28"/>
      <c r="F191" s="28"/>
      <c r="G191" s="28"/>
      <c r="H191" s="28"/>
      <c r="I191" s="72"/>
      <c r="J191" s="72"/>
      <c r="K191" s="36"/>
      <c r="L191" s="12"/>
      <c r="M191" s="93"/>
      <c r="N191" s="93"/>
      <c r="S191" s="93"/>
    </row>
    <row r="192" spans="1:21" x14ac:dyDescent="0.3">
      <c r="B192" s="4"/>
      <c r="C192" s="4"/>
      <c r="D192" s="4"/>
      <c r="E192" s="28"/>
      <c r="F192" s="28"/>
      <c r="G192" s="28"/>
      <c r="H192" s="28"/>
      <c r="I192" s="72"/>
      <c r="J192" s="72"/>
      <c r="K192" s="36"/>
      <c r="L192" s="12"/>
      <c r="M192" s="93"/>
      <c r="N192" s="93"/>
      <c r="S192" s="93"/>
    </row>
    <row r="193" spans="1:21" x14ac:dyDescent="0.3">
      <c r="B193" s="4"/>
      <c r="C193" s="4"/>
      <c r="D193" s="4"/>
      <c r="E193" s="28"/>
      <c r="F193" s="28"/>
      <c r="G193" s="28"/>
      <c r="H193" s="28"/>
      <c r="I193" s="72"/>
      <c r="J193" s="72"/>
      <c r="K193" s="36"/>
      <c r="L193" s="12"/>
      <c r="M193" s="93"/>
      <c r="N193" s="93"/>
      <c r="S193" s="93"/>
    </row>
    <row r="194" spans="1:21" x14ac:dyDescent="0.3">
      <c r="T194" s="128"/>
      <c r="U194" s="128"/>
    </row>
    <row r="195" spans="1:21" x14ac:dyDescent="0.3">
      <c r="A195" s="565" t="s">
        <v>144</v>
      </c>
      <c r="B195" s="565"/>
      <c r="C195" s="4"/>
      <c r="D195" s="4"/>
    </row>
    <row r="196" spans="1:21" x14ac:dyDescent="0.3">
      <c r="A196" s="655" t="s">
        <v>44</v>
      </c>
      <c r="B196" s="656" t="s">
        <v>44</v>
      </c>
      <c r="C196" s="658" t="s">
        <v>145</v>
      </c>
      <c r="D196" s="12"/>
      <c r="S196" s="26"/>
    </row>
    <row r="197" spans="1:21" x14ac:dyDescent="0.3">
      <c r="A197" s="655"/>
      <c r="B197" s="657"/>
      <c r="C197" s="659"/>
      <c r="D197" s="12"/>
      <c r="S197" s="26"/>
    </row>
    <row r="198" spans="1:21" x14ac:dyDescent="0.3">
      <c r="A198" s="39">
        <v>1</v>
      </c>
      <c r="B198" s="140" t="str">
        <f>IF($A$11="","",(A11))</f>
        <v/>
      </c>
      <c r="C198" s="131" t="e">
        <f>(R37+R54+R71+R88+R105+R122+R139+R156+R173+R190)/$B$5</f>
        <v>#DIV/0!</v>
      </c>
      <c r="D198" s="28"/>
      <c r="S198" s="26"/>
    </row>
    <row r="199" spans="1:21" x14ac:dyDescent="0.3">
      <c r="A199" s="39">
        <v>2</v>
      </c>
      <c r="B199" s="140" t="str">
        <f>IF($A$12="","",(A12))</f>
        <v/>
      </c>
      <c r="C199" s="131" t="e">
        <f>(S37+S54+S71+S88+S105+S122+S139+S156+S173+S190)/$B$5</f>
        <v>#DIV/0!</v>
      </c>
      <c r="D199" s="28"/>
      <c r="S199" s="26"/>
    </row>
    <row r="200" spans="1:21" x14ac:dyDescent="0.3">
      <c r="A200" s="39">
        <v>3</v>
      </c>
      <c r="B200" s="140" t="str">
        <f>IF($A$13="","",(A13))</f>
        <v/>
      </c>
      <c r="C200" s="131" t="e">
        <f>(T37+T54+T71+T88+T105+T122+T139+T156+T173+T190)/$B$5</f>
        <v>#DIV/0!</v>
      </c>
      <c r="D200" s="28"/>
      <c r="S200" s="26"/>
    </row>
    <row r="201" spans="1:21" x14ac:dyDescent="0.3">
      <c r="A201" s="39">
        <v>4</v>
      </c>
      <c r="B201" s="140" t="str">
        <f>IF($A$14="","",(A14))</f>
        <v/>
      </c>
      <c r="C201" s="131" t="e">
        <f>(U37+U54+U71+U88+U105+U122+U139+U156+U173+U190)/$B$5</f>
        <v>#DIV/0!</v>
      </c>
      <c r="D201" s="28"/>
      <c r="S201" s="26"/>
    </row>
    <row r="203" spans="1:21" ht="18" x14ac:dyDescent="0.3">
      <c r="A203" s="565" t="s">
        <v>168</v>
      </c>
      <c r="B203" s="565"/>
      <c r="C203" s="565"/>
      <c r="D203" s="1"/>
      <c r="E203" s="1"/>
      <c r="F203" s="1"/>
      <c r="G203"/>
      <c r="H203"/>
      <c r="I203" s="163"/>
      <c r="J203"/>
      <c r="K203"/>
      <c r="L203" s="163"/>
      <c r="M203" s="163"/>
      <c r="N203"/>
      <c r="O203" s="2"/>
      <c r="P203" s="2"/>
      <c r="Q203" s="2"/>
      <c r="R203" s="2"/>
      <c r="S203"/>
    </row>
    <row r="204" spans="1:21" x14ac:dyDescent="0.3">
      <c r="A204" s="655" t="s">
        <v>44</v>
      </c>
      <c r="B204" s="656" t="s">
        <v>44</v>
      </c>
      <c r="C204" s="342" t="s">
        <v>103</v>
      </c>
      <c r="D204" s="342" t="s">
        <v>68</v>
      </c>
      <c r="E204" s="343" t="s">
        <v>69</v>
      </c>
      <c r="F204" s="342" t="s">
        <v>70</v>
      </c>
      <c r="G204" s="342" t="s">
        <v>71</v>
      </c>
      <c r="H204" s="342" t="s">
        <v>72</v>
      </c>
      <c r="I204" s="366" t="s">
        <v>73</v>
      </c>
      <c r="J204" s="342" t="s">
        <v>74</v>
      </c>
      <c r="K204" s="342" t="s">
        <v>75</v>
      </c>
      <c r="L204" s="366" t="s">
        <v>76</v>
      </c>
      <c r="M204" s="366" t="s">
        <v>77</v>
      </c>
      <c r="N204" s="342" t="s">
        <v>78</v>
      </c>
    </row>
    <row r="205" spans="1:21" x14ac:dyDescent="0.3">
      <c r="A205" s="655"/>
      <c r="B205" s="657"/>
      <c r="C205" s="348" t="s">
        <v>80</v>
      </c>
      <c r="D205" s="348" t="s">
        <v>81</v>
      </c>
      <c r="E205" s="348" t="s">
        <v>82</v>
      </c>
      <c r="F205" s="348" t="s">
        <v>83</v>
      </c>
      <c r="G205" s="348" t="s">
        <v>84</v>
      </c>
      <c r="H205" s="348" t="s">
        <v>85</v>
      </c>
      <c r="I205" s="348" t="s">
        <v>86</v>
      </c>
      <c r="J205" s="348" t="s">
        <v>87</v>
      </c>
      <c r="K205" s="348" t="s">
        <v>88</v>
      </c>
      <c r="L205" s="348" t="s">
        <v>89</v>
      </c>
      <c r="M205" s="348" t="s">
        <v>90</v>
      </c>
      <c r="N205" s="348" t="s">
        <v>91</v>
      </c>
    </row>
    <row r="206" spans="1:21" x14ac:dyDescent="0.3">
      <c r="A206" s="39">
        <v>1</v>
      </c>
      <c r="B206" s="140" t="str">
        <f>IF($A$11="","",(A11))</f>
        <v/>
      </c>
      <c r="C206" s="35" t="e">
        <f t="shared" ref="C206:N206" si="177">$C$198*C19</f>
        <v>#DIV/0!</v>
      </c>
      <c r="D206" s="35" t="e">
        <f t="shared" si="177"/>
        <v>#DIV/0!</v>
      </c>
      <c r="E206" s="35" t="e">
        <f t="shared" si="177"/>
        <v>#DIV/0!</v>
      </c>
      <c r="F206" s="35" t="e">
        <f t="shared" si="177"/>
        <v>#DIV/0!</v>
      </c>
      <c r="G206" s="35" t="e">
        <f t="shared" si="177"/>
        <v>#DIV/0!</v>
      </c>
      <c r="H206" s="35" t="e">
        <f t="shared" si="177"/>
        <v>#DIV/0!</v>
      </c>
      <c r="I206" s="35" t="e">
        <f t="shared" si="177"/>
        <v>#DIV/0!</v>
      </c>
      <c r="J206" s="35" t="e">
        <f t="shared" si="177"/>
        <v>#DIV/0!</v>
      </c>
      <c r="K206" s="35" t="e">
        <f t="shared" si="177"/>
        <v>#DIV/0!</v>
      </c>
      <c r="L206" s="35" t="e">
        <f t="shared" si="177"/>
        <v>#DIV/0!</v>
      </c>
      <c r="M206" s="35" t="e">
        <f t="shared" si="177"/>
        <v>#DIV/0!</v>
      </c>
      <c r="N206" s="35" t="e">
        <f t="shared" si="177"/>
        <v>#DIV/0!</v>
      </c>
    </row>
    <row r="207" spans="1:21" x14ac:dyDescent="0.3">
      <c r="A207" s="39">
        <v>2</v>
      </c>
      <c r="B207" s="140" t="str">
        <f>IF($A$12="","",(A12))</f>
        <v/>
      </c>
      <c r="C207" s="35" t="e">
        <f t="shared" ref="C207:N207" si="178">$C$199*C20</f>
        <v>#DIV/0!</v>
      </c>
      <c r="D207" s="35" t="e">
        <f t="shared" si="178"/>
        <v>#DIV/0!</v>
      </c>
      <c r="E207" s="35" t="e">
        <f t="shared" si="178"/>
        <v>#DIV/0!</v>
      </c>
      <c r="F207" s="35" t="e">
        <f t="shared" si="178"/>
        <v>#DIV/0!</v>
      </c>
      <c r="G207" s="35" t="e">
        <f t="shared" si="178"/>
        <v>#DIV/0!</v>
      </c>
      <c r="H207" s="35" t="e">
        <f t="shared" si="178"/>
        <v>#DIV/0!</v>
      </c>
      <c r="I207" s="35" t="e">
        <f t="shared" si="178"/>
        <v>#DIV/0!</v>
      </c>
      <c r="J207" s="35" t="e">
        <f t="shared" si="178"/>
        <v>#DIV/0!</v>
      </c>
      <c r="K207" s="35" t="e">
        <f t="shared" si="178"/>
        <v>#DIV/0!</v>
      </c>
      <c r="L207" s="35" t="e">
        <f t="shared" si="178"/>
        <v>#DIV/0!</v>
      </c>
      <c r="M207" s="35" t="e">
        <f t="shared" si="178"/>
        <v>#DIV/0!</v>
      </c>
      <c r="N207" s="35" t="e">
        <f t="shared" si="178"/>
        <v>#DIV/0!</v>
      </c>
    </row>
    <row r="208" spans="1:21" x14ac:dyDescent="0.3">
      <c r="A208" s="39">
        <v>3</v>
      </c>
      <c r="B208" s="140" t="str">
        <f>IF($A$13="","",(A13))</f>
        <v/>
      </c>
      <c r="C208" s="35" t="e">
        <f t="shared" ref="C208:M208" si="179">$C$200*C21</f>
        <v>#DIV/0!</v>
      </c>
      <c r="D208" s="35" t="e">
        <f t="shared" si="179"/>
        <v>#DIV/0!</v>
      </c>
      <c r="E208" s="35" t="e">
        <f t="shared" si="179"/>
        <v>#DIV/0!</v>
      </c>
      <c r="F208" s="35" t="e">
        <f t="shared" si="179"/>
        <v>#DIV/0!</v>
      </c>
      <c r="G208" s="35" t="e">
        <f t="shared" si="179"/>
        <v>#DIV/0!</v>
      </c>
      <c r="H208" s="35" t="e">
        <f t="shared" si="179"/>
        <v>#DIV/0!</v>
      </c>
      <c r="I208" s="35" t="e">
        <f t="shared" si="179"/>
        <v>#DIV/0!</v>
      </c>
      <c r="J208" s="35" t="e">
        <f t="shared" si="179"/>
        <v>#DIV/0!</v>
      </c>
      <c r="K208" s="35" t="e">
        <f t="shared" si="179"/>
        <v>#DIV/0!</v>
      </c>
      <c r="L208" s="35" t="e">
        <f t="shared" si="179"/>
        <v>#DIV/0!</v>
      </c>
      <c r="M208" s="35" t="e">
        <f t="shared" si="179"/>
        <v>#DIV/0!</v>
      </c>
      <c r="N208" s="35" t="e">
        <f>$C$200*Q21</f>
        <v>#DIV/0!</v>
      </c>
    </row>
    <row r="209" spans="1:21" x14ac:dyDescent="0.3">
      <c r="A209" s="39">
        <v>4</v>
      </c>
      <c r="B209" s="140" t="str">
        <f>IF($A$14="","",(A14))</f>
        <v/>
      </c>
      <c r="C209" s="35" t="e">
        <f t="shared" ref="C209:N209" si="180">$C$201*C22</f>
        <v>#DIV/0!</v>
      </c>
      <c r="D209" s="35" t="e">
        <f t="shared" si="180"/>
        <v>#DIV/0!</v>
      </c>
      <c r="E209" s="35" t="e">
        <f t="shared" si="180"/>
        <v>#DIV/0!</v>
      </c>
      <c r="F209" s="35" t="e">
        <f t="shared" si="180"/>
        <v>#DIV/0!</v>
      </c>
      <c r="G209" s="35" t="e">
        <f t="shared" si="180"/>
        <v>#DIV/0!</v>
      </c>
      <c r="H209" s="35" t="e">
        <f t="shared" si="180"/>
        <v>#DIV/0!</v>
      </c>
      <c r="I209" s="35" t="e">
        <f t="shared" si="180"/>
        <v>#DIV/0!</v>
      </c>
      <c r="J209" s="35" t="e">
        <f t="shared" si="180"/>
        <v>#DIV/0!</v>
      </c>
      <c r="K209" s="35" t="e">
        <f t="shared" si="180"/>
        <v>#DIV/0!</v>
      </c>
      <c r="L209" s="35" t="e">
        <f t="shared" si="180"/>
        <v>#DIV/0!</v>
      </c>
      <c r="M209" s="35" t="e">
        <f t="shared" si="180"/>
        <v>#DIV/0!</v>
      </c>
      <c r="N209" s="35" t="e">
        <f t="shared" si="180"/>
        <v>#DIV/0!</v>
      </c>
    </row>
    <row r="210" spans="1:21" x14ac:dyDescent="0.3">
      <c r="A210" s="29"/>
      <c r="B210" s="29"/>
      <c r="C210" s="26"/>
      <c r="D210" s="26"/>
      <c r="E210" s="26"/>
      <c r="F210" s="26"/>
      <c r="G210" s="26"/>
      <c r="H210" s="26"/>
      <c r="J210" s="26"/>
      <c r="K210" s="26"/>
      <c r="N210" s="26"/>
    </row>
    <row r="211" spans="1:21" ht="18" x14ac:dyDescent="0.3">
      <c r="A211" s="213" t="s">
        <v>851</v>
      </c>
      <c r="B211" s="213"/>
      <c r="C211" s="213"/>
      <c r="D211" s="12"/>
      <c r="O211" s="28" t="s">
        <v>104</v>
      </c>
    </row>
    <row r="212" spans="1:21" x14ac:dyDescent="0.3">
      <c r="A212" s="654" t="s">
        <v>169</v>
      </c>
      <c r="B212" s="654"/>
      <c r="C212" s="152" t="str">
        <f>IF($B$4="","",SUM(C206:C209))</f>
        <v/>
      </c>
      <c r="D212" s="152" t="str">
        <f t="shared" ref="D212:N212" si="181">IF($B$4="","",SUM(D206:D209))</f>
        <v/>
      </c>
      <c r="E212" s="152" t="str">
        <f t="shared" si="181"/>
        <v/>
      </c>
      <c r="F212" s="152" t="str">
        <f t="shared" si="181"/>
        <v/>
      </c>
      <c r="G212" s="152" t="str">
        <f t="shared" si="181"/>
        <v/>
      </c>
      <c r="H212" s="152" t="str">
        <f t="shared" si="181"/>
        <v/>
      </c>
      <c r="I212" s="152" t="str">
        <f t="shared" si="181"/>
        <v/>
      </c>
      <c r="J212" s="152" t="str">
        <f t="shared" si="181"/>
        <v/>
      </c>
      <c r="K212" s="152" t="str">
        <f t="shared" si="181"/>
        <v/>
      </c>
      <c r="L212" s="152" t="str">
        <f t="shared" si="181"/>
        <v/>
      </c>
      <c r="M212" s="152" t="str">
        <f t="shared" si="181"/>
        <v/>
      </c>
      <c r="N212" s="152" t="str">
        <f t="shared" si="181"/>
        <v/>
      </c>
      <c r="O212" s="130">
        <f>SUM(C212:N212)</f>
        <v>0</v>
      </c>
      <c r="P212" s="132"/>
      <c r="Q212" s="132"/>
      <c r="R212" s="132"/>
      <c r="S212" s="50"/>
      <c r="T212" s="132"/>
      <c r="U212" s="132"/>
    </row>
    <row r="213" spans="1:21" x14ac:dyDescent="0.3">
      <c r="A213" s="45"/>
      <c r="B213" s="45"/>
      <c r="C213" s="653"/>
      <c r="D213" s="653"/>
      <c r="E213" s="653"/>
      <c r="F213" s="653"/>
      <c r="G213" s="653"/>
    </row>
  </sheetData>
  <mergeCells count="34">
    <mergeCell ref="A13:B13"/>
    <mergeCell ref="E9:F10"/>
    <mergeCell ref="D9:D10"/>
    <mergeCell ref="E13:F13"/>
    <mergeCell ref="A14:B14"/>
    <mergeCell ref="C9:C10"/>
    <mergeCell ref="A8:C8"/>
    <mergeCell ref="D16:N16"/>
    <mergeCell ref="A16:C16"/>
    <mergeCell ref="D8:I8"/>
    <mergeCell ref="H13:I13"/>
    <mergeCell ref="G9:G10"/>
    <mergeCell ref="H9:I10"/>
    <mergeCell ref="A11:B11"/>
    <mergeCell ref="E11:F11"/>
    <mergeCell ref="H11:I11"/>
    <mergeCell ref="A9:B10"/>
    <mergeCell ref="E14:F14"/>
    <mergeCell ref="H14:I14"/>
    <mergeCell ref="A12:B12"/>
    <mergeCell ref="E12:F12"/>
    <mergeCell ref="H12:I12"/>
    <mergeCell ref="A203:C203"/>
    <mergeCell ref="C213:G213"/>
    <mergeCell ref="A212:B212"/>
    <mergeCell ref="A17:A18"/>
    <mergeCell ref="B17:B18"/>
    <mergeCell ref="A204:A205"/>
    <mergeCell ref="B204:B205"/>
    <mergeCell ref="A195:B195"/>
    <mergeCell ref="A196:A197"/>
    <mergeCell ref="B196:B197"/>
    <mergeCell ref="C196:C197"/>
    <mergeCell ref="A24:C24"/>
  </mergeCells>
  <pageMargins left="0.7" right="0.7" top="0.75" bottom="0.75" header="0.3" footer="0.3"/>
  <pageSetup paperSize="9" orientation="portrait" r:id="rId1"/>
  <tableParts count="10">
    <tablePart r:id="rId2"/>
    <tablePart r:id="rId3"/>
    <tablePart r:id="rId4"/>
    <tablePart r:id="rId5"/>
    <tablePart r:id="rId6"/>
    <tablePart r:id="rId7"/>
    <tablePart r:id="rId8"/>
    <tablePart r:id="rId9"/>
    <tablePart r:id="rId10"/>
    <tablePart r:id="rId1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65709-8C00-401A-9A1C-08E5B70738A2}">
  <sheetPr codeName="Sheet14">
    <tabColor theme="0" tint="-0.249977111117893"/>
  </sheetPr>
  <dimension ref="A1:AO142"/>
  <sheetViews>
    <sheetView zoomScale="70" zoomScaleNormal="70" workbookViewId="0">
      <pane xSplit="1" topLeftCell="B1" activePane="topRight" state="frozen"/>
      <selection pane="topRight" activeCell="C2" sqref="C2"/>
    </sheetView>
  </sheetViews>
  <sheetFormatPr defaultColWidth="9.140625" defaultRowHeight="16.5" x14ac:dyDescent="0.3"/>
  <cols>
    <col min="1" max="1" width="27.42578125" style="41" customWidth="1"/>
    <col min="2" max="2" width="22.42578125" style="3" customWidth="1"/>
    <col min="3" max="3" width="26" style="12" customWidth="1"/>
    <col min="4" max="4" width="17.85546875" style="3" customWidth="1"/>
    <col min="5" max="5" width="16.140625" style="37" customWidth="1"/>
    <col min="6" max="6" width="23.42578125" style="37" customWidth="1"/>
    <col min="7" max="7" width="26.42578125" style="25" customWidth="1"/>
    <col min="8" max="8" width="5.42578125" style="25" customWidth="1"/>
    <col min="9" max="9" width="5.42578125" style="40" customWidth="1"/>
    <col min="10" max="10" width="21.140625" style="26" customWidth="1"/>
    <col min="11" max="11" width="64" style="25" customWidth="1"/>
    <col min="12" max="12" width="9.42578125" style="25" customWidth="1"/>
    <col min="13" max="13" width="5.140625" style="3" customWidth="1"/>
    <col min="14" max="17" width="18.85546875" style="72" customWidth="1"/>
    <col min="18" max="20" width="18.85546875" style="28" customWidth="1"/>
    <col min="21" max="21" width="21.140625" style="28" customWidth="1"/>
    <col min="22" max="22" width="18.140625" style="28" customWidth="1"/>
    <col min="23" max="23" width="19.42578125" style="28" customWidth="1"/>
    <col min="24" max="24" width="19.140625" style="28" customWidth="1"/>
    <col min="25" max="25" width="17.140625" style="28" customWidth="1"/>
    <col min="26" max="26" width="62" style="3" customWidth="1"/>
    <col min="27" max="30" width="9.140625" style="3"/>
    <col min="31" max="31" width="12.85546875" style="22" customWidth="1"/>
    <col min="32" max="16384" width="9.140625" style="3"/>
  </cols>
  <sheetData>
    <row r="1" spans="1:32" ht="20.25" x14ac:dyDescent="0.3">
      <c r="A1" s="196" t="s">
        <v>417</v>
      </c>
      <c r="E1" s="25"/>
      <c r="F1" s="25"/>
    </row>
    <row r="2" spans="1:32" x14ac:dyDescent="0.3">
      <c r="A2" s="63"/>
      <c r="E2" s="25"/>
      <c r="F2" s="25"/>
      <c r="N2" s="636"/>
      <c r="O2" s="636"/>
      <c r="P2" s="636"/>
      <c r="Q2" s="636"/>
      <c r="R2" s="636"/>
      <c r="S2" s="636"/>
      <c r="T2" s="636"/>
      <c r="U2" s="636"/>
      <c r="V2" s="636"/>
      <c r="W2" s="636"/>
      <c r="X2" s="636"/>
      <c r="Y2" s="636"/>
    </row>
    <row r="3" spans="1:32" x14ac:dyDescent="0.3">
      <c r="E3" s="25"/>
      <c r="F3" s="25"/>
      <c r="J3" s="624"/>
      <c r="K3" s="624"/>
      <c r="L3" s="624"/>
      <c r="N3" s="28"/>
      <c r="O3" s="28"/>
      <c r="P3" s="75"/>
      <c r="Q3" s="28"/>
    </row>
    <row r="4" spans="1:32" x14ac:dyDescent="0.3">
      <c r="A4" s="48" t="s">
        <v>171</v>
      </c>
      <c r="B4" s="48" t="s">
        <v>172</v>
      </c>
      <c r="C4" s="48" t="s">
        <v>418</v>
      </c>
      <c r="D4" s="637" t="s">
        <v>175</v>
      </c>
      <c r="E4" s="677"/>
      <c r="F4" s="677"/>
      <c r="G4" s="637" t="s">
        <v>419</v>
      </c>
      <c r="H4" s="638"/>
      <c r="I4" s="108"/>
      <c r="J4" s="45"/>
      <c r="K4" s="73"/>
      <c r="L4" s="3"/>
      <c r="M4" s="28"/>
      <c r="N4" s="28"/>
      <c r="O4" s="28"/>
      <c r="P4" s="28"/>
      <c r="Q4" s="28"/>
      <c r="Y4" s="3"/>
      <c r="AD4" s="22"/>
      <c r="AE4" s="3"/>
    </row>
    <row r="5" spans="1:32" x14ac:dyDescent="0.3">
      <c r="A5" s="74" t="s">
        <v>420</v>
      </c>
      <c r="B5" s="8" t="s">
        <v>178</v>
      </c>
      <c r="C5" s="112" t="s">
        <v>421</v>
      </c>
      <c r="D5" s="625" t="s">
        <v>422</v>
      </c>
      <c r="E5" s="625"/>
      <c r="F5" s="625"/>
      <c r="G5" s="615" t="s">
        <v>423</v>
      </c>
      <c r="H5" s="617"/>
      <c r="J5" s="25"/>
      <c r="K5" s="26"/>
      <c r="L5" s="31"/>
      <c r="N5" s="3"/>
      <c r="R5" s="72"/>
      <c r="Z5" s="28"/>
      <c r="AE5" s="3"/>
      <c r="AF5" s="22"/>
    </row>
    <row r="6" spans="1:32" ht="16.5" customHeight="1" x14ac:dyDescent="0.3">
      <c r="A6" s="74" t="s">
        <v>424</v>
      </c>
      <c r="B6" s="8" t="s">
        <v>192</v>
      </c>
      <c r="C6" s="112" t="s">
        <v>421</v>
      </c>
      <c r="D6" s="625"/>
      <c r="E6" s="625"/>
      <c r="F6" s="625"/>
      <c r="G6" s="615"/>
      <c r="H6" s="617"/>
      <c r="J6" s="25"/>
      <c r="K6" s="31"/>
      <c r="L6" s="27"/>
      <c r="M6" s="33"/>
      <c r="N6" s="33"/>
      <c r="Q6" s="28"/>
      <c r="Z6" s="28"/>
      <c r="AE6" s="3"/>
      <c r="AF6" s="22"/>
    </row>
    <row r="7" spans="1:32" x14ac:dyDescent="0.3">
      <c r="A7" s="109" t="s">
        <v>425</v>
      </c>
      <c r="B7" s="8" t="s">
        <v>196</v>
      </c>
      <c r="C7" s="112" t="s">
        <v>421</v>
      </c>
      <c r="D7" s="634" t="s">
        <v>426</v>
      </c>
      <c r="E7" s="634"/>
      <c r="F7" s="634"/>
      <c r="G7" s="615" t="s">
        <v>427</v>
      </c>
      <c r="H7" s="617"/>
      <c r="J7" s="40"/>
      <c r="K7" s="31"/>
      <c r="L7" s="31"/>
      <c r="M7" s="33"/>
      <c r="N7" s="33"/>
      <c r="Q7" s="28"/>
      <c r="Z7" s="28"/>
      <c r="AE7" s="3"/>
      <c r="AF7" s="22"/>
    </row>
    <row r="8" spans="1:32" ht="16.5" customHeight="1" x14ac:dyDescent="0.3">
      <c r="A8" s="74" t="s">
        <v>428</v>
      </c>
      <c r="B8" s="8" t="s">
        <v>196</v>
      </c>
      <c r="C8" s="112" t="s">
        <v>421</v>
      </c>
      <c r="D8" s="634"/>
      <c r="E8" s="634"/>
      <c r="F8" s="634"/>
      <c r="G8" s="615"/>
      <c r="H8" s="617"/>
      <c r="I8" s="100"/>
      <c r="J8" s="30"/>
      <c r="K8" s="31"/>
      <c r="L8" s="31"/>
      <c r="M8" s="33"/>
      <c r="N8" s="33"/>
      <c r="Q8" s="28"/>
      <c r="Z8" s="28"/>
      <c r="AE8" s="3"/>
      <c r="AF8" s="22"/>
    </row>
    <row r="9" spans="1:32" x14ac:dyDescent="0.3">
      <c r="A9" s="74" t="s">
        <v>429</v>
      </c>
      <c r="B9" s="8" t="s">
        <v>196</v>
      </c>
      <c r="C9" s="112" t="s">
        <v>421</v>
      </c>
      <c r="D9" s="634"/>
      <c r="E9" s="634"/>
      <c r="F9" s="634"/>
      <c r="G9" s="615"/>
      <c r="H9" s="617"/>
      <c r="J9" s="40"/>
      <c r="K9" s="31"/>
      <c r="L9" s="31"/>
      <c r="M9" s="33"/>
      <c r="N9" s="33"/>
      <c r="Q9" s="28"/>
      <c r="Z9" s="28"/>
      <c r="AE9" s="3"/>
      <c r="AF9" s="22"/>
    </row>
    <row r="10" spans="1:32" x14ac:dyDescent="0.3">
      <c r="A10" s="74" t="s">
        <v>430</v>
      </c>
      <c r="B10" s="8" t="s">
        <v>192</v>
      </c>
      <c r="C10" s="112" t="s">
        <v>421</v>
      </c>
      <c r="D10" s="634" t="s">
        <v>431</v>
      </c>
      <c r="E10" s="634"/>
      <c r="F10" s="634"/>
      <c r="G10" s="615" t="s">
        <v>432</v>
      </c>
      <c r="H10" s="617"/>
      <c r="I10" s="100"/>
      <c r="J10" s="30"/>
      <c r="K10" s="31"/>
      <c r="L10" s="31"/>
      <c r="M10" s="33"/>
      <c r="N10" s="33"/>
      <c r="Q10" s="28"/>
      <c r="Z10" s="28"/>
      <c r="AE10" s="3"/>
      <c r="AF10" s="22"/>
    </row>
    <row r="11" spans="1:32" x14ac:dyDescent="0.3">
      <c r="A11" s="74" t="s">
        <v>433</v>
      </c>
      <c r="B11" s="8" t="s">
        <v>196</v>
      </c>
      <c r="C11" s="112" t="s">
        <v>421</v>
      </c>
      <c r="D11" s="634"/>
      <c r="E11" s="634"/>
      <c r="F11" s="634"/>
      <c r="G11" s="615"/>
      <c r="H11" s="617"/>
      <c r="J11" s="25"/>
      <c r="K11" s="31"/>
      <c r="L11" s="31"/>
      <c r="N11" s="33"/>
      <c r="Q11" s="28"/>
      <c r="Z11" s="28"/>
      <c r="AE11" s="3"/>
      <c r="AF11" s="11"/>
    </row>
    <row r="12" spans="1:32" x14ac:dyDescent="0.3">
      <c r="A12" s="74" t="s">
        <v>434</v>
      </c>
      <c r="B12" s="8" t="s">
        <v>196</v>
      </c>
      <c r="C12" s="112" t="s">
        <v>421</v>
      </c>
      <c r="D12" s="634" t="s">
        <v>426</v>
      </c>
      <c r="E12" s="634"/>
      <c r="F12" s="634"/>
      <c r="G12" s="615" t="s">
        <v>427</v>
      </c>
      <c r="H12" s="617"/>
      <c r="J12" s="25"/>
      <c r="K12" s="31"/>
      <c r="L12" s="31"/>
      <c r="M12" s="33"/>
      <c r="N12" s="33"/>
      <c r="Q12" s="28"/>
      <c r="Z12" s="28"/>
      <c r="AE12" s="3"/>
      <c r="AF12" s="11"/>
    </row>
    <row r="13" spans="1:32" x14ac:dyDescent="0.3">
      <c r="A13" s="74" t="s">
        <v>435</v>
      </c>
      <c r="B13" s="8" t="s">
        <v>178</v>
      </c>
      <c r="C13" s="112" t="s">
        <v>421</v>
      </c>
      <c r="D13" s="634"/>
      <c r="E13" s="634"/>
      <c r="F13" s="634"/>
      <c r="G13" s="615"/>
      <c r="H13" s="617"/>
      <c r="J13" s="25"/>
      <c r="K13" s="31"/>
      <c r="L13" s="31"/>
      <c r="M13" s="33"/>
      <c r="N13" s="33"/>
      <c r="Q13" s="28"/>
      <c r="Z13" s="28"/>
      <c r="AE13" s="3"/>
      <c r="AF13" s="11"/>
    </row>
    <row r="14" spans="1:32" x14ac:dyDescent="0.3">
      <c r="A14" s="74" t="s">
        <v>436</v>
      </c>
      <c r="B14" s="8" t="s">
        <v>178</v>
      </c>
      <c r="C14" s="112" t="s">
        <v>421</v>
      </c>
      <c r="D14" s="634"/>
      <c r="E14" s="634"/>
      <c r="F14" s="634"/>
      <c r="G14" s="615"/>
      <c r="H14" s="617"/>
      <c r="J14" s="25"/>
      <c r="K14" s="31"/>
      <c r="L14" s="31"/>
      <c r="M14" s="33"/>
      <c r="N14" s="33"/>
      <c r="Q14" s="28"/>
      <c r="Z14" s="28"/>
      <c r="AE14" s="3"/>
      <c r="AF14" s="11"/>
    </row>
    <row r="15" spans="1:32" x14ac:dyDescent="0.3">
      <c r="A15" s="74" t="s">
        <v>437</v>
      </c>
      <c r="B15" s="8" t="s">
        <v>200</v>
      </c>
      <c r="C15" s="112" t="s">
        <v>421</v>
      </c>
      <c r="D15" s="634"/>
      <c r="E15" s="634"/>
      <c r="F15" s="634"/>
      <c r="G15" s="615"/>
      <c r="H15" s="617"/>
      <c r="J15" s="30"/>
      <c r="K15" s="31"/>
      <c r="L15" s="31"/>
      <c r="M15" s="33"/>
      <c r="N15" s="33"/>
      <c r="Q15" s="28"/>
      <c r="Z15" s="28"/>
      <c r="AE15" s="3"/>
      <c r="AF15" s="22"/>
    </row>
    <row r="16" spans="1:32" x14ac:dyDescent="0.3">
      <c r="A16" s="74" t="s">
        <v>438</v>
      </c>
      <c r="B16" s="8" t="s">
        <v>196</v>
      </c>
      <c r="C16" s="112" t="s">
        <v>421</v>
      </c>
      <c r="D16" s="634"/>
      <c r="E16" s="634"/>
      <c r="F16" s="634"/>
      <c r="G16" s="615"/>
      <c r="H16" s="617"/>
      <c r="J16" s="25"/>
      <c r="K16" s="31"/>
      <c r="L16" s="31"/>
      <c r="M16" s="33"/>
      <c r="N16" s="33"/>
      <c r="Q16" s="28"/>
      <c r="Z16" s="28"/>
      <c r="AE16" s="3"/>
      <c r="AF16" s="22"/>
    </row>
    <row r="17" spans="1:38" x14ac:dyDescent="0.3">
      <c r="A17" s="74" t="s">
        <v>439</v>
      </c>
      <c r="B17" s="8" t="s">
        <v>214</v>
      </c>
      <c r="C17" s="112" t="s">
        <v>421</v>
      </c>
      <c r="D17" s="634"/>
      <c r="E17" s="634"/>
      <c r="F17" s="634"/>
      <c r="G17" s="615"/>
      <c r="H17" s="617"/>
      <c r="I17" s="100"/>
      <c r="J17" s="30"/>
      <c r="K17" s="31"/>
      <c r="L17" s="3"/>
      <c r="M17" s="33"/>
      <c r="N17" s="33"/>
      <c r="Q17" s="28"/>
      <c r="Z17" s="28"/>
      <c r="AE17" s="3"/>
      <c r="AF17" s="22"/>
    </row>
    <row r="18" spans="1:38" x14ac:dyDescent="0.3">
      <c r="D18" s="623"/>
      <c r="E18" s="623"/>
      <c r="F18" s="623"/>
      <c r="J18" s="30"/>
      <c r="L18" s="73"/>
      <c r="T18" s="30"/>
      <c r="U18" s="30"/>
    </row>
    <row r="19" spans="1:38" x14ac:dyDescent="0.3">
      <c r="A19" s="23" t="s">
        <v>355</v>
      </c>
      <c r="D19" s="623"/>
      <c r="E19" s="623"/>
      <c r="F19" s="623"/>
      <c r="J19" s="30"/>
      <c r="L19" s="27"/>
      <c r="T19" s="30"/>
      <c r="U19" s="30"/>
    </row>
    <row r="20" spans="1:38" x14ac:dyDescent="0.3">
      <c r="D20" s="623"/>
      <c r="E20" s="623"/>
      <c r="F20" s="623"/>
      <c r="J20" s="30"/>
      <c r="L20" s="27"/>
      <c r="T20" s="30"/>
      <c r="U20" s="30"/>
    </row>
    <row r="21" spans="1:38" x14ac:dyDescent="0.3">
      <c r="A21" s="110" t="s">
        <v>440</v>
      </c>
      <c r="B21" s="4"/>
      <c r="C21" s="31"/>
      <c r="D21" s="633" t="s">
        <v>357</v>
      </c>
      <c r="E21" s="633"/>
      <c r="F21" s="633"/>
      <c r="H21" s="30"/>
      <c r="I21" s="100"/>
      <c r="J21" s="31"/>
      <c r="K21" s="31"/>
      <c r="L21" s="4"/>
      <c r="M21" s="33"/>
      <c r="P21" s="28"/>
      <c r="Q21" s="28"/>
    </row>
    <row r="22" spans="1:38" x14ac:dyDescent="0.3">
      <c r="A22" s="110" t="s">
        <v>441</v>
      </c>
      <c r="B22" s="4"/>
      <c r="C22" s="28"/>
      <c r="D22" s="633" t="s">
        <v>357</v>
      </c>
      <c r="E22" s="633"/>
      <c r="F22" s="633"/>
      <c r="G22" s="31"/>
      <c r="H22" s="31"/>
      <c r="I22" s="100"/>
      <c r="J22" s="30"/>
      <c r="K22" s="31"/>
      <c r="L22" s="4"/>
      <c r="M22" s="4"/>
    </row>
    <row r="23" spans="1:38" x14ac:dyDescent="0.3">
      <c r="A23" s="110" t="s">
        <v>442</v>
      </c>
      <c r="C23" s="3"/>
      <c r="D23" s="623" t="s">
        <v>357</v>
      </c>
      <c r="E23" s="623"/>
      <c r="F23" s="623"/>
      <c r="G23" s="3"/>
      <c r="H23" s="3"/>
      <c r="I23" s="98"/>
      <c r="J23" s="3"/>
      <c r="K23" s="3"/>
      <c r="L23" s="4"/>
      <c r="N23" s="28"/>
      <c r="O23" s="28"/>
      <c r="P23" s="28"/>
      <c r="Q23" s="28"/>
    </row>
    <row r="24" spans="1:38" x14ac:dyDescent="0.3">
      <c r="D24" s="623"/>
      <c r="E24" s="623"/>
      <c r="F24" s="623"/>
      <c r="J24" s="30"/>
      <c r="L24" s="4"/>
      <c r="T24" s="30"/>
      <c r="U24" s="30"/>
    </row>
    <row r="25" spans="1:38" x14ac:dyDescent="0.3">
      <c r="A25" s="23" t="s">
        <v>364</v>
      </c>
      <c r="C25" s="630" t="s">
        <v>443</v>
      </c>
      <c r="D25" s="630"/>
      <c r="E25" s="630"/>
      <c r="F25" s="630"/>
      <c r="G25" s="630"/>
      <c r="H25" s="630"/>
      <c r="I25" s="630"/>
      <c r="J25" s="630"/>
      <c r="K25" s="630"/>
      <c r="L25" s="630"/>
      <c r="M25" s="630"/>
      <c r="N25" s="557" t="s">
        <v>366</v>
      </c>
      <c r="O25" s="557"/>
      <c r="P25" s="557"/>
      <c r="Q25" s="557"/>
      <c r="R25" s="557"/>
      <c r="S25" s="557"/>
      <c r="T25" s="557"/>
      <c r="U25" s="557"/>
      <c r="V25" s="557"/>
      <c r="W25" s="557"/>
      <c r="X25" s="557"/>
      <c r="Y25" s="557"/>
      <c r="Z25" s="28"/>
      <c r="AA25" s="28"/>
      <c r="AB25" s="28"/>
      <c r="AE25" s="3"/>
      <c r="AH25" s="22"/>
    </row>
    <row r="26" spans="1:38" x14ac:dyDescent="0.3">
      <c r="C26" s="3"/>
      <c r="D26" s="28"/>
      <c r="E26" s="28"/>
      <c r="F26" s="28"/>
      <c r="G26" s="28"/>
      <c r="H26" s="28"/>
      <c r="I26" s="28"/>
      <c r="J26" s="83"/>
      <c r="K26" s="12"/>
      <c r="L26" s="12"/>
      <c r="M26" s="4"/>
      <c r="N26" s="39" t="s">
        <v>103</v>
      </c>
      <c r="O26" s="39" t="s">
        <v>68</v>
      </c>
      <c r="P26" s="330" t="s">
        <v>69</v>
      </c>
      <c r="Q26" s="39" t="s">
        <v>70</v>
      </c>
      <c r="R26" s="39" t="s">
        <v>71</v>
      </c>
      <c r="S26" s="39" t="s">
        <v>72</v>
      </c>
      <c r="T26" s="39" t="s">
        <v>73</v>
      </c>
      <c r="U26" s="39" t="s">
        <v>74</v>
      </c>
      <c r="V26" s="39" t="s">
        <v>75</v>
      </c>
      <c r="W26" s="39" t="s">
        <v>76</v>
      </c>
      <c r="X26" s="39" t="s">
        <v>77</v>
      </c>
      <c r="Y26" s="39" t="s">
        <v>78</v>
      </c>
      <c r="AC26" s="28"/>
      <c r="AD26" s="28"/>
      <c r="AE26" s="28"/>
      <c r="AF26" s="28"/>
      <c r="AL26" s="22"/>
    </row>
    <row r="27" spans="1:38" ht="49.5" x14ac:dyDescent="0.3">
      <c r="A27" s="184" t="s">
        <v>171</v>
      </c>
      <c r="B27" s="184" t="s">
        <v>172</v>
      </c>
      <c r="C27" s="48" t="s">
        <v>418</v>
      </c>
      <c r="D27" s="185" t="s">
        <v>444</v>
      </c>
      <c r="E27" s="672" t="s">
        <v>367</v>
      </c>
      <c r="F27" s="673"/>
      <c r="G27" s="673"/>
      <c r="H27" s="674"/>
      <c r="I27" s="186"/>
      <c r="J27" s="187" t="s">
        <v>153</v>
      </c>
      <c r="K27" s="675" t="s">
        <v>368</v>
      </c>
      <c r="L27" s="676"/>
      <c r="M27" s="4"/>
      <c r="N27" s="80" t="s">
        <v>80</v>
      </c>
      <c r="O27" s="80" t="s">
        <v>81</v>
      </c>
      <c r="P27" s="80" t="s">
        <v>133</v>
      </c>
      <c r="Q27" s="80" t="s">
        <v>134</v>
      </c>
      <c r="R27" s="80" t="s">
        <v>84</v>
      </c>
      <c r="S27" s="80" t="s">
        <v>85</v>
      </c>
      <c r="T27" s="80" t="s">
        <v>86</v>
      </c>
      <c r="U27" s="80" t="s">
        <v>87</v>
      </c>
      <c r="V27" s="80" t="s">
        <v>88</v>
      </c>
      <c r="W27" s="80" t="s">
        <v>89</v>
      </c>
      <c r="X27" s="80" t="s">
        <v>90</v>
      </c>
      <c r="Y27" s="327" t="s">
        <v>91</v>
      </c>
      <c r="Z27" s="80" t="s">
        <v>370</v>
      </c>
      <c r="AC27" s="4"/>
      <c r="AD27" s="4"/>
      <c r="AE27" s="4"/>
      <c r="AF27" s="4"/>
      <c r="AL27" s="22"/>
    </row>
    <row r="28" spans="1:38" x14ac:dyDescent="0.3">
      <c r="A28" s="74" t="s">
        <v>420</v>
      </c>
      <c r="B28" s="8" t="s">
        <v>178</v>
      </c>
      <c r="C28" s="112" t="s">
        <v>421</v>
      </c>
      <c r="D28" s="19"/>
      <c r="E28" s="615"/>
      <c r="F28" s="616"/>
      <c r="G28" s="616"/>
      <c r="H28" s="617"/>
      <c r="I28" s="25"/>
      <c r="J28" s="111"/>
      <c r="K28" s="606"/>
      <c r="L28" s="608"/>
      <c r="M28" s="4"/>
      <c r="N28" s="71"/>
      <c r="O28" s="71"/>
      <c r="P28" s="71"/>
      <c r="Q28" s="71"/>
      <c r="R28" s="39"/>
      <c r="S28" s="39"/>
      <c r="T28" s="39"/>
      <c r="U28" s="39"/>
      <c r="V28" s="39"/>
      <c r="W28" s="39"/>
      <c r="X28" s="39"/>
      <c r="Y28" s="119"/>
      <c r="Z28" s="8"/>
      <c r="AC28" s="28"/>
      <c r="AD28" s="28"/>
      <c r="AE28" s="28"/>
      <c r="AF28" s="28"/>
      <c r="AL28" s="22"/>
    </row>
    <row r="29" spans="1:38" x14ac:dyDescent="0.3">
      <c r="A29" s="74" t="s">
        <v>424</v>
      </c>
      <c r="B29" s="8" t="s">
        <v>196</v>
      </c>
      <c r="C29" s="112" t="s">
        <v>421</v>
      </c>
      <c r="D29" s="19"/>
      <c r="E29" s="615"/>
      <c r="F29" s="616"/>
      <c r="G29" s="616"/>
      <c r="H29" s="617"/>
      <c r="I29" s="25"/>
      <c r="J29" s="112" t="s">
        <v>445</v>
      </c>
      <c r="K29" s="625" t="s">
        <v>385</v>
      </c>
      <c r="L29" s="625"/>
      <c r="M29" s="4"/>
      <c r="N29" s="18">
        <v>0</v>
      </c>
      <c r="O29" s="18">
        <v>0.03</v>
      </c>
      <c r="P29" s="18">
        <v>0.03</v>
      </c>
      <c r="Q29" s="18">
        <v>0.03</v>
      </c>
      <c r="R29" s="21">
        <v>0.04</v>
      </c>
      <c r="S29" s="21">
        <v>0.05</v>
      </c>
      <c r="T29" s="21">
        <v>0.05</v>
      </c>
      <c r="U29" s="21">
        <v>0.11</v>
      </c>
      <c r="V29" s="21">
        <v>0.25</v>
      </c>
      <c r="W29" s="21">
        <v>0.13</v>
      </c>
      <c r="X29" s="21">
        <v>0.08</v>
      </c>
      <c r="Y29" s="21">
        <v>0.2</v>
      </c>
      <c r="Z29" s="13" t="s">
        <v>446</v>
      </c>
      <c r="AC29" s="28"/>
      <c r="AD29" s="28"/>
      <c r="AE29" s="28"/>
      <c r="AF29" s="28"/>
      <c r="AL29" s="22"/>
    </row>
    <row r="30" spans="1:38" x14ac:dyDescent="0.3">
      <c r="A30" s="74" t="s">
        <v>424</v>
      </c>
      <c r="B30" s="8" t="s">
        <v>196</v>
      </c>
      <c r="C30" s="112" t="s">
        <v>421</v>
      </c>
      <c r="D30" s="19"/>
      <c r="E30" s="615"/>
      <c r="F30" s="616"/>
      <c r="G30" s="616"/>
      <c r="H30" s="617"/>
      <c r="I30" s="25"/>
      <c r="J30" s="112" t="s">
        <v>447</v>
      </c>
      <c r="K30" s="625" t="s">
        <v>448</v>
      </c>
      <c r="L30" s="625"/>
      <c r="M30" s="4"/>
      <c r="N30" s="18">
        <v>0.01</v>
      </c>
      <c r="O30" s="18">
        <v>0.03</v>
      </c>
      <c r="P30" s="18">
        <v>0.01</v>
      </c>
      <c r="Q30" s="18">
        <v>0.02</v>
      </c>
      <c r="R30" s="21">
        <v>0.02</v>
      </c>
      <c r="S30" s="21">
        <v>0.03</v>
      </c>
      <c r="T30" s="21">
        <v>0.13</v>
      </c>
      <c r="U30" s="21">
        <v>0.32</v>
      </c>
      <c r="V30" s="21">
        <v>0.43</v>
      </c>
      <c r="W30" s="18">
        <v>0</v>
      </c>
      <c r="X30" s="21">
        <v>0</v>
      </c>
      <c r="Y30" s="95">
        <v>0</v>
      </c>
      <c r="Z30" s="8" t="s">
        <v>378</v>
      </c>
      <c r="AC30" s="28"/>
      <c r="AD30" s="28"/>
      <c r="AE30" s="28"/>
      <c r="AF30" s="28"/>
      <c r="AL30" s="22"/>
    </row>
    <row r="31" spans="1:38" x14ac:dyDescent="0.3">
      <c r="A31" s="74" t="s">
        <v>424</v>
      </c>
      <c r="B31" s="8" t="s">
        <v>196</v>
      </c>
      <c r="C31" s="112" t="s">
        <v>421</v>
      </c>
      <c r="D31" s="19"/>
      <c r="E31" s="615"/>
      <c r="F31" s="616"/>
      <c r="G31" s="616"/>
      <c r="H31" s="617"/>
      <c r="I31" s="25"/>
      <c r="J31" s="112" t="s">
        <v>449</v>
      </c>
      <c r="K31" s="625" t="s">
        <v>450</v>
      </c>
      <c r="L31" s="625"/>
      <c r="M31" s="4"/>
      <c r="N31" s="18"/>
      <c r="O31" s="18"/>
      <c r="P31" s="18"/>
      <c r="Q31" s="18"/>
      <c r="R31" s="21"/>
      <c r="S31" s="21"/>
      <c r="T31" s="21"/>
      <c r="U31" s="21"/>
      <c r="V31" s="21"/>
      <c r="W31" s="21"/>
      <c r="X31" s="21"/>
      <c r="Y31" s="95"/>
      <c r="Z31" s="8"/>
      <c r="AC31" s="28"/>
      <c r="AD31" s="28"/>
      <c r="AE31" s="28"/>
      <c r="AF31" s="28"/>
      <c r="AL31" s="22"/>
    </row>
    <row r="32" spans="1:38" x14ac:dyDescent="0.3">
      <c r="A32" s="74" t="s">
        <v>424</v>
      </c>
      <c r="B32" s="8" t="s">
        <v>196</v>
      </c>
      <c r="C32" s="112" t="s">
        <v>421</v>
      </c>
      <c r="D32" s="19"/>
      <c r="E32" s="615"/>
      <c r="F32" s="616"/>
      <c r="G32" s="616"/>
      <c r="H32" s="617"/>
      <c r="I32" s="25"/>
      <c r="J32" s="112" t="s">
        <v>451</v>
      </c>
      <c r="K32" s="625" t="s">
        <v>452</v>
      </c>
      <c r="L32" s="625"/>
      <c r="M32" s="4"/>
      <c r="N32" s="18"/>
      <c r="O32" s="18"/>
      <c r="P32" s="18"/>
      <c r="Q32" s="18"/>
      <c r="R32" s="21"/>
      <c r="S32" s="21"/>
      <c r="T32" s="21"/>
      <c r="U32" s="21"/>
      <c r="V32" s="21"/>
      <c r="W32" s="21"/>
      <c r="X32" s="21"/>
      <c r="Y32" s="95"/>
      <c r="Z32" s="8"/>
      <c r="AC32" s="28"/>
      <c r="AD32" s="28"/>
      <c r="AE32" s="28"/>
      <c r="AF32" s="28"/>
      <c r="AL32" s="22"/>
    </row>
    <row r="33" spans="1:38" x14ac:dyDescent="0.3">
      <c r="A33" s="74" t="s">
        <v>424</v>
      </c>
      <c r="B33" s="8" t="s">
        <v>196</v>
      </c>
      <c r="C33" s="112" t="s">
        <v>421</v>
      </c>
      <c r="D33" s="19"/>
      <c r="E33" s="615"/>
      <c r="F33" s="616"/>
      <c r="G33" s="616"/>
      <c r="H33" s="617"/>
      <c r="I33" s="25"/>
      <c r="J33" s="112" t="s">
        <v>453</v>
      </c>
      <c r="K33" s="625" t="s">
        <v>454</v>
      </c>
      <c r="L33" s="625"/>
      <c r="M33" s="4"/>
      <c r="N33" s="18"/>
      <c r="O33" s="18"/>
      <c r="P33" s="18"/>
      <c r="Q33" s="18"/>
      <c r="R33" s="21"/>
      <c r="S33" s="21"/>
      <c r="T33" s="21"/>
      <c r="U33" s="21"/>
      <c r="V33" s="21"/>
      <c r="W33" s="21"/>
      <c r="X33" s="21"/>
      <c r="Y33" s="95"/>
      <c r="Z33" s="8"/>
      <c r="AC33" s="28"/>
      <c r="AD33" s="28"/>
      <c r="AE33" s="28"/>
      <c r="AF33" s="28"/>
      <c r="AL33" s="22"/>
    </row>
    <row r="34" spans="1:38" x14ac:dyDescent="0.3">
      <c r="A34" s="74" t="s">
        <v>424</v>
      </c>
      <c r="B34" s="8" t="s">
        <v>196</v>
      </c>
      <c r="C34" s="112" t="s">
        <v>421</v>
      </c>
      <c r="D34" s="12" t="s">
        <v>455</v>
      </c>
      <c r="E34" s="618" t="s">
        <v>378</v>
      </c>
      <c r="F34" s="622"/>
      <c r="G34" s="622"/>
      <c r="H34" s="619"/>
      <c r="I34" s="25"/>
      <c r="J34" s="112">
        <v>7.6</v>
      </c>
      <c r="K34" s="107" t="s">
        <v>378</v>
      </c>
      <c r="L34" s="105"/>
      <c r="M34" s="4"/>
      <c r="N34" s="18"/>
      <c r="O34" s="18"/>
      <c r="P34" s="18"/>
      <c r="Q34" s="18"/>
      <c r="R34" s="21"/>
      <c r="S34" s="21"/>
      <c r="T34" s="21"/>
      <c r="U34" s="21"/>
      <c r="V34" s="21"/>
      <c r="W34" s="21"/>
      <c r="X34" s="21"/>
      <c r="Y34" s="95"/>
      <c r="Z34" s="8"/>
      <c r="AC34" s="28"/>
      <c r="AD34" s="28"/>
      <c r="AE34" s="28"/>
      <c r="AF34" s="28"/>
      <c r="AL34" s="22"/>
    </row>
    <row r="35" spans="1:38" x14ac:dyDescent="0.3">
      <c r="A35" s="74" t="s">
        <v>424</v>
      </c>
      <c r="B35" s="8" t="s">
        <v>196</v>
      </c>
      <c r="C35" s="112" t="s">
        <v>421</v>
      </c>
      <c r="D35" s="19"/>
      <c r="E35" s="615"/>
      <c r="F35" s="616"/>
      <c r="G35" s="616"/>
      <c r="H35" s="617"/>
      <c r="I35" s="25"/>
      <c r="J35" s="112">
        <v>7.7</v>
      </c>
      <c r="K35" s="107" t="s">
        <v>378</v>
      </c>
      <c r="L35" s="105"/>
      <c r="M35" s="4"/>
      <c r="N35" s="18"/>
      <c r="O35" s="18"/>
      <c r="P35" s="18"/>
      <c r="Q35" s="18"/>
      <c r="R35" s="21"/>
      <c r="S35" s="21"/>
      <c r="T35" s="21"/>
      <c r="U35" s="21"/>
      <c r="V35" s="21"/>
      <c r="W35" s="21"/>
      <c r="X35" s="21"/>
      <c r="Y35" s="95"/>
      <c r="Z35" s="8"/>
      <c r="AC35" s="28"/>
      <c r="AD35" s="28"/>
      <c r="AE35" s="28"/>
      <c r="AF35" s="28"/>
      <c r="AL35" s="22"/>
    </row>
    <row r="36" spans="1:38" x14ac:dyDescent="0.3">
      <c r="A36" s="109" t="s">
        <v>425</v>
      </c>
      <c r="B36" s="8" t="s">
        <v>196</v>
      </c>
      <c r="C36" s="112" t="s">
        <v>421</v>
      </c>
      <c r="D36" s="66"/>
      <c r="E36" s="609"/>
      <c r="F36" s="610"/>
      <c r="G36" s="610"/>
      <c r="H36" s="611"/>
      <c r="I36" s="32"/>
      <c r="J36" s="111"/>
      <c r="K36" s="606"/>
      <c r="L36" s="608"/>
      <c r="M36" s="4"/>
      <c r="N36" s="18"/>
      <c r="O36" s="18"/>
      <c r="P36" s="21"/>
      <c r="Q36" s="21"/>
      <c r="R36" s="21"/>
      <c r="S36" s="21"/>
      <c r="T36" s="21"/>
      <c r="U36" s="21"/>
      <c r="V36" s="21"/>
      <c r="W36" s="21"/>
      <c r="X36" s="21"/>
      <c r="Y36" s="95"/>
      <c r="Z36" s="8"/>
      <c r="AC36" s="28"/>
      <c r="AD36" s="28"/>
      <c r="AE36" s="28"/>
      <c r="AF36" s="28"/>
      <c r="AL36" s="22"/>
    </row>
    <row r="37" spans="1:38" x14ac:dyDescent="0.3">
      <c r="A37" s="74" t="s">
        <v>428</v>
      </c>
      <c r="B37" s="8" t="s">
        <v>196</v>
      </c>
      <c r="C37" s="112" t="s">
        <v>421</v>
      </c>
      <c r="D37" s="66"/>
      <c r="E37" s="609"/>
      <c r="F37" s="610"/>
      <c r="G37" s="610"/>
      <c r="H37" s="611"/>
      <c r="I37" s="32"/>
      <c r="J37" s="111"/>
      <c r="K37" s="606"/>
      <c r="L37" s="608"/>
      <c r="M37" s="4"/>
      <c r="N37" s="18"/>
      <c r="O37" s="18"/>
      <c r="P37" s="21"/>
      <c r="Q37" s="21"/>
      <c r="R37" s="21"/>
      <c r="S37" s="21"/>
      <c r="T37" s="21"/>
      <c r="U37" s="21"/>
      <c r="V37" s="21"/>
      <c r="W37" s="21"/>
      <c r="X37" s="21"/>
      <c r="Y37" s="95"/>
      <c r="Z37" s="8"/>
      <c r="AC37" s="28"/>
      <c r="AD37" s="28"/>
      <c r="AE37" s="28"/>
      <c r="AF37" s="28"/>
      <c r="AL37" s="22"/>
    </row>
    <row r="38" spans="1:38" x14ac:dyDescent="0.3">
      <c r="A38" s="74" t="s">
        <v>429</v>
      </c>
      <c r="B38" s="8" t="s">
        <v>196</v>
      </c>
      <c r="C38" s="112" t="s">
        <v>421</v>
      </c>
      <c r="D38" s="12" t="s">
        <v>456</v>
      </c>
      <c r="E38" s="615" t="s">
        <v>378</v>
      </c>
      <c r="F38" s="616"/>
      <c r="G38" s="616"/>
      <c r="H38" s="617"/>
      <c r="I38" s="32"/>
      <c r="J38" s="113">
        <v>6.5</v>
      </c>
      <c r="K38" s="618" t="s">
        <v>378</v>
      </c>
      <c r="L38" s="619"/>
      <c r="M38" s="4"/>
      <c r="N38" s="18">
        <v>0</v>
      </c>
      <c r="O38" s="18">
        <v>0</v>
      </c>
      <c r="P38" s="21">
        <v>0.01</v>
      </c>
      <c r="Q38" s="21">
        <v>0.02</v>
      </c>
      <c r="R38" s="21">
        <v>0.13</v>
      </c>
      <c r="S38" s="21">
        <v>0.34</v>
      </c>
      <c r="T38" s="21">
        <v>0.22</v>
      </c>
      <c r="U38" s="21">
        <v>0.11</v>
      </c>
      <c r="V38" s="21">
        <v>0.17</v>
      </c>
      <c r="W38" s="18">
        <v>0</v>
      </c>
      <c r="X38" s="21">
        <v>0</v>
      </c>
      <c r="Y38" s="95">
        <v>0</v>
      </c>
      <c r="Z38" s="8" t="s">
        <v>378</v>
      </c>
      <c r="AC38" s="28"/>
      <c r="AD38" s="28"/>
      <c r="AE38" s="28"/>
      <c r="AF38" s="28"/>
      <c r="AL38" s="22"/>
    </row>
    <row r="39" spans="1:38" x14ac:dyDescent="0.3">
      <c r="A39" s="74" t="s">
        <v>429</v>
      </c>
      <c r="B39" s="8" t="s">
        <v>196</v>
      </c>
      <c r="C39" s="112" t="s">
        <v>421</v>
      </c>
      <c r="D39" s="66"/>
      <c r="E39" s="609"/>
      <c r="F39" s="610"/>
      <c r="G39" s="610"/>
      <c r="H39" s="611"/>
      <c r="I39" s="32"/>
      <c r="J39" s="113">
        <v>8.9</v>
      </c>
      <c r="K39" s="618" t="s">
        <v>378</v>
      </c>
      <c r="L39" s="619"/>
      <c r="M39" s="4"/>
      <c r="N39" s="18"/>
      <c r="O39" s="18"/>
      <c r="P39" s="21"/>
      <c r="Q39" s="21"/>
      <c r="R39" s="21"/>
      <c r="S39" s="21"/>
      <c r="T39" s="21"/>
      <c r="U39" s="21"/>
      <c r="V39" s="21"/>
      <c r="W39" s="18"/>
      <c r="X39" s="21"/>
      <c r="Y39" s="95"/>
      <c r="Z39" s="8"/>
      <c r="AC39" s="28"/>
      <c r="AD39" s="28"/>
      <c r="AE39" s="28"/>
      <c r="AF39" s="28"/>
      <c r="AL39" s="22"/>
    </row>
    <row r="40" spans="1:38" x14ac:dyDescent="0.3">
      <c r="A40" s="74" t="s">
        <v>430</v>
      </c>
      <c r="B40" s="8" t="s">
        <v>192</v>
      </c>
      <c r="C40" s="112" t="s">
        <v>421</v>
      </c>
      <c r="D40" s="66"/>
      <c r="E40" s="609"/>
      <c r="F40" s="610"/>
      <c r="G40" s="610"/>
      <c r="H40" s="611"/>
      <c r="I40" s="32"/>
      <c r="J40" s="111"/>
      <c r="K40" s="606"/>
      <c r="L40" s="608"/>
      <c r="M40" s="4"/>
      <c r="N40" s="71"/>
      <c r="O40" s="18"/>
      <c r="P40" s="21"/>
      <c r="Q40" s="21"/>
      <c r="R40" s="21"/>
      <c r="S40" s="21"/>
      <c r="T40" s="21"/>
      <c r="U40" s="21"/>
      <c r="V40" s="21"/>
      <c r="W40" s="21"/>
      <c r="X40" s="21"/>
      <c r="Y40" s="95"/>
      <c r="Z40" s="8"/>
      <c r="AC40" s="28"/>
      <c r="AD40" s="28"/>
      <c r="AE40" s="28"/>
      <c r="AF40" s="28"/>
      <c r="AL40" s="22"/>
    </row>
    <row r="41" spans="1:38" x14ac:dyDescent="0.3">
      <c r="A41" s="74" t="s">
        <v>433</v>
      </c>
      <c r="B41" s="8" t="s">
        <v>196</v>
      </c>
      <c r="C41" s="112" t="s">
        <v>421</v>
      </c>
      <c r="D41" s="66"/>
      <c r="E41" s="609"/>
      <c r="F41" s="610"/>
      <c r="G41" s="610"/>
      <c r="H41" s="611"/>
      <c r="I41" s="32"/>
      <c r="J41" s="111"/>
      <c r="K41" s="606"/>
      <c r="L41" s="608"/>
      <c r="M41" s="4"/>
      <c r="N41" s="71"/>
      <c r="O41" s="18"/>
      <c r="P41" s="21"/>
      <c r="Q41" s="21"/>
      <c r="R41" s="21"/>
      <c r="S41" s="21"/>
      <c r="T41" s="21"/>
      <c r="U41" s="21"/>
      <c r="V41" s="21"/>
      <c r="W41" s="21"/>
      <c r="X41" s="21"/>
      <c r="Y41" s="95"/>
      <c r="Z41" s="8"/>
      <c r="AC41" s="28"/>
      <c r="AD41" s="28"/>
      <c r="AE41" s="28"/>
      <c r="AF41" s="28"/>
      <c r="AL41" s="22"/>
    </row>
    <row r="42" spans="1:38" x14ac:dyDescent="0.3">
      <c r="A42" s="74" t="s">
        <v>434</v>
      </c>
      <c r="B42" s="8" t="s">
        <v>196</v>
      </c>
      <c r="C42" s="112" t="s">
        <v>421</v>
      </c>
      <c r="D42" s="66"/>
      <c r="E42" s="609"/>
      <c r="F42" s="610"/>
      <c r="G42" s="610"/>
      <c r="H42" s="611"/>
      <c r="I42" s="32"/>
      <c r="J42" s="111"/>
      <c r="K42" s="606"/>
      <c r="L42" s="608"/>
      <c r="M42" s="4"/>
      <c r="N42" s="71"/>
      <c r="O42" s="18"/>
      <c r="P42" s="21"/>
      <c r="Q42" s="21"/>
      <c r="R42" s="21"/>
      <c r="S42" s="21"/>
      <c r="T42" s="21"/>
      <c r="U42" s="21"/>
      <c r="V42" s="21"/>
      <c r="W42" s="21"/>
      <c r="X42" s="21"/>
      <c r="Y42" s="95"/>
      <c r="Z42" s="8"/>
      <c r="AC42" s="28"/>
      <c r="AD42" s="28"/>
      <c r="AE42" s="28"/>
      <c r="AF42" s="28"/>
      <c r="AL42" s="22"/>
    </row>
    <row r="43" spans="1:38" x14ac:dyDescent="0.3">
      <c r="A43" s="74" t="s">
        <v>435</v>
      </c>
      <c r="B43" s="8" t="s">
        <v>178</v>
      </c>
      <c r="C43" s="112" t="s">
        <v>421</v>
      </c>
      <c r="D43" s="34"/>
      <c r="E43" s="606"/>
      <c r="F43" s="607"/>
      <c r="G43" s="607"/>
      <c r="H43" s="608"/>
      <c r="I43" s="32"/>
      <c r="J43" s="111"/>
      <c r="K43" s="606"/>
      <c r="L43" s="608"/>
      <c r="M43" s="4"/>
      <c r="N43" s="71"/>
      <c r="O43" s="18"/>
      <c r="P43" s="21"/>
      <c r="Q43" s="21"/>
      <c r="R43" s="21"/>
      <c r="S43" s="21"/>
      <c r="T43" s="21"/>
      <c r="U43" s="21"/>
      <c r="V43" s="21"/>
      <c r="W43" s="21"/>
      <c r="X43" s="21"/>
      <c r="Y43" s="95"/>
      <c r="Z43" s="68"/>
      <c r="AC43" s="28"/>
      <c r="AD43" s="28"/>
      <c r="AE43" s="28"/>
      <c r="AF43" s="28"/>
      <c r="AL43" s="22"/>
    </row>
    <row r="44" spans="1:38" x14ac:dyDescent="0.3">
      <c r="A44" s="74" t="s">
        <v>436</v>
      </c>
      <c r="B44" s="8" t="s">
        <v>178</v>
      </c>
      <c r="C44" s="112" t="s">
        <v>421</v>
      </c>
      <c r="D44" s="66"/>
      <c r="E44" s="609"/>
      <c r="F44" s="610"/>
      <c r="G44" s="610"/>
      <c r="H44" s="611"/>
      <c r="I44" s="32"/>
      <c r="J44" s="111"/>
      <c r="K44" s="618"/>
      <c r="L44" s="619"/>
      <c r="M44" s="4"/>
      <c r="N44" s="71"/>
      <c r="O44" s="18"/>
      <c r="P44" s="21"/>
      <c r="Q44" s="21"/>
      <c r="R44" s="21"/>
      <c r="S44" s="21"/>
      <c r="T44" s="21"/>
      <c r="U44" s="21"/>
      <c r="V44" s="21"/>
      <c r="W44" s="21"/>
      <c r="X44" s="21"/>
      <c r="Y44" s="95"/>
      <c r="Z44" s="8"/>
      <c r="AC44" s="28"/>
      <c r="AD44" s="28"/>
      <c r="AE44" s="28"/>
      <c r="AF44" s="28"/>
      <c r="AL44" s="22"/>
    </row>
    <row r="45" spans="1:38" x14ac:dyDescent="0.3">
      <c r="A45" s="74" t="s">
        <v>437</v>
      </c>
      <c r="B45" s="8" t="s">
        <v>200</v>
      </c>
      <c r="C45" s="112" t="s">
        <v>421</v>
      </c>
      <c r="D45" s="66"/>
      <c r="E45" s="609"/>
      <c r="F45" s="610"/>
      <c r="G45" s="610"/>
      <c r="H45" s="611"/>
      <c r="I45" s="32"/>
      <c r="J45" s="111"/>
      <c r="K45" s="606"/>
      <c r="L45" s="608"/>
      <c r="M45" s="4"/>
      <c r="N45" s="71"/>
      <c r="O45" s="18"/>
      <c r="P45" s="21"/>
      <c r="Q45" s="21"/>
      <c r="R45" s="21"/>
      <c r="S45" s="21"/>
      <c r="T45" s="21"/>
      <c r="U45" s="21"/>
      <c r="V45" s="21"/>
      <c r="W45" s="21"/>
      <c r="X45" s="21"/>
      <c r="Y45" s="95"/>
      <c r="Z45" s="8"/>
      <c r="AC45" s="28"/>
      <c r="AD45" s="28"/>
      <c r="AE45" s="28"/>
      <c r="AF45" s="28"/>
      <c r="AL45" s="22"/>
    </row>
    <row r="46" spans="1:38" x14ac:dyDescent="0.3">
      <c r="A46" s="74" t="s">
        <v>438</v>
      </c>
      <c r="B46" s="8" t="s">
        <v>196</v>
      </c>
      <c r="C46" s="112" t="s">
        <v>421</v>
      </c>
      <c r="D46" s="66"/>
      <c r="E46" s="609"/>
      <c r="F46" s="610"/>
      <c r="G46" s="610"/>
      <c r="H46" s="611"/>
      <c r="I46" s="32"/>
      <c r="J46" s="111"/>
      <c r="K46" s="606"/>
      <c r="L46" s="608"/>
      <c r="M46" s="4"/>
      <c r="N46" s="71"/>
      <c r="O46" s="18"/>
      <c r="P46" s="21"/>
      <c r="Q46" s="21"/>
      <c r="R46" s="21"/>
      <c r="S46" s="21"/>
      <c r="T46" s="21"/>
      <c r="U46" s="21"/>
      <c r="V46" s="21"/>
      <c r="W46" s="21"/>
      <c r="X46" s="21"/>
      <c r="Y46" s="95"/>
      <c r="Z46" s="8"/>
      <c r="AC46" s="28"/>
      <c r="AD46" s="28"/>
      <c r="AE46" s="28"/>
      <c r="AF46" s="28"/>
      <c r="AL46" s="22"/>
    </row>
    <row r="47" spans="1:38" x14ac:dyDescent="0.3">
      <c r="A47" s="74" t="s">
        <v>439</v>
      </c>
      <c r="B47" s="8" t="s">
        <v>214</v>
      </c>
      <c r="C47" s="112" t="s">
        <v>421</v>
      </c>
      <c r="D47" s="66"/>
      <c r="E47" s="609"/>
      <c r="F47" s="610"/>
      <c r="G47" s="610"/>
      <c r="H47" s="611"/>
      <c r="I47" s="32"/>
      <c r="J47" s="111"/>
      <c r="K47" s="606"/>
      <c r="L47" s="608"/>
      <c r="M47" s="4"/>
      <c r="N47" s="71"/>
      <c r="O47" s="18"/>
      <c r="P47" s="21"/>
      <c r="Q47" s="21"/>
      <c r="R47" s="21"/>
      <c r="S47" s="21"/>
      <c r="T47" s="21"/>
      <c r="U47" s="21"/>
      <c r="V47" s="21"/>
      <c r="W47" s="21"/>
      <c r="X47" s="21"/>
      <c r="Y47" s="95"/>
      <c r="Z47" s="8"/>
      <c r="AC47" s="28"/>
      <c r="AD47" s="28"/>
      <c r="AE47" s="28"/>
      <c r="AF47" s="28"/>
      <c r="AL47" s="22"/>
    </row>
    <row r="48" spans="1:38" x14ac:dyDescent="0.3">
      <c r="C48" s="30"/>
      <c r="D48" s="25"/>
      <c r="E48" s="25"/>
      <c r="F48" s="70"/>
      <c r="G48" s="27"/>
      <c r="H48" s="27"/>
      <c r="I48" s="100"/>
      <c r="J48" s="3"/>
      <c r="K48" s="3"/>
      <c r="L48" s="72"/>
      <c r="M48" s="30"/>
      <c r="N48" s="30"/>
      <c r="O48" s="28"/>
      <c r="P48" s="28"/>
      <c r="Q48" s="28"/>
      <c r="S48" s="3"/>
      <c r="T48" s="3"/>
      <c r="U48" s="3"/>
    </row>
    <row r="49" spans="1:41" x14ac:dyDescent="0.3">
      <c r="C49" s="30"/>
      <c r="D49" s="25"/>
      <c r="E49" s="25"/>
      <c r="F49" s="70"/>
      <c r="G49" s="27"/>
      <c r="H49" s="27"/>
      <c r="I49" s="100"/>
      <c r="J49" s="3"/>
      <c r="K49" s="3"/>
      <c r="M49" s="30"/>
      <c r="N49" s="30"/>
      <c r="O49" s="28"/>
      <c r="P49" s="28"/>
      <c r="Q49" s="28"/>
      <c r="S49" s="3"/>
      <c r="T49" s="3"/>
      <c r="U49" s="3"/>
    </row>
    <row r="50" spans="1:41" x14ac:dyDescent="0.3">
      <c r="C50" s="30"/>
      <c r="D50" s="25"/>
      <c r="E50" s="25"/>
      <c r="F50" s="70"/>
      <c r="G50" s="27"/>
      <c r="H50" s="27"/>
      <c r="I50" s="100"/>
      <c r="J50" s="3"/>
      <c r="K50" s="3"/>
      <c r="M50" s="30"/>
    </row>
    <row r="51" spans="1:41" x14ac:dyDescent="0.3">
      <c r="C51" s="31"/>
      <c r="D51" s="31"/>
      <c r="E51" s="32"/>
      <c r="F51" s="70"/>
      <c r="G51" s="4"/>
      <c r="H51" s="4"/>
      <c r="I51" s="100"/>
      <c r="J51" s="33"/>
      <c r="K51" s="33"/>
      <c r="M51" s="28"/>
      <c r="N51" s="28"/>
      <c r="O51" s="28"/>
      <c r="P51" s="28"/>
      <c r="Q51" s="28"/>
      <c r="S51" s="3"/>
      <c r="T51" s="3"/>
      <c r="U51" s="3"/>
    </row>
    <row r="52" spans="1:41" x14ac:dyDescent="0.3">
      <c r="C52" s="30"/>
      <c r="D52" s="31"/>
      <c r="E52" s="31"/>
      <c r="F52" s="70"/>
      <c r="G52" s="32"/>
      <c r="H52" s="32"/>
      <c r="I52" s="100"/>
      <c r="K52" s="4"/>
      <c r="M52" s="28"/>
      <c r="N52" s="28"/>
      <c r="O52" s="28"/>
      <c r="P52" s="28"/>
      <c r="Q52" s="28"/>
      <c r="S52" s="3"/>
      <c r="T52" s="3"/>
      <c r="U52" s="3"/>
    </row>
    <row r="53" spans="1:41" x14ac:dyDescent="0.3">
      <c r="C53" s="3"/>
      <c r="E53" s="3"/>
      <c r="F53" s="70"/>
      <c r="G53" s="3"/>
      <c r="H53" s="3"/>
      <c r="I53" s="100"/>
      <c r="K53" s="4"/>
      <c r="M53" s="28"/>
      <c r="N53" s="28"/>
      <c r="O53" s="28"/>
      <c r="P53" s="28"/>
      <c r="Q53" s="28"/>
      <c r="S53" s="3"/>
      <c r="T53" s="3"/>
      <c r="U53" s="3"/>
    </row>
    <row r="54" spans="1:41" s="28" customFormat="1" x14ac:dyDescent="0.3">
      <c r="A54" s="41"/>
      <c r="B54" s="3"/>
      <c r="C54" s="3"/>
      <c r="D54" s="3"/>
      <c r="E54" s="3"/>
      <c r="F54" s="70"/>
      <c r="G54" s="3"/>
      <c r="H54" s="3"/>
      <c r="I54" s="100"/>
      <c r="J54" s="3"/>
      <c r="K54" s="3"/>
      <c r="L54" s="25"/>
      <c r="S54" s="3"/>
      <c r="T54" s="3"/>
      <c r="U54" s="3"/>
      <c r="Z54" s="3"/>
      <c r="AA54" s="3"/>
      <c r="AB54" s="3"/>
      <c r="AC54" s="3"/>
      <c r="AD54" s="3"/>
      <c r="AE54" s="22"/>
      <c r="AF54" s="3"/>
      <c r="AG54" s="3"/>
      <c r="AH54" s="3"/>
      <c r="AI54" s="3"/>
      <c r="AJ54" s="3"/>
      <c r="AK54" s="3"/>
      <c r="AL54" s="3"/>
      <c r="AM54" s="3"/>
      <c r="AN54" s="3"/>
      <c r="AO54" s="3"/>
    </row>
    <row r="55" spans="1:41" s="28" customFormat="1" x14ac:dyDescent="0.3">
      <c r="A55" s="41"/>
      <c r="B55" s="3"/>
      <c r="C55" s="3"/>
      <c r="D55" s="3"/>
      <c r="E55" s="3"/>
      <c r="F55" s="70"/>
      <c r="G55" s="3"/>
      <c r="H55" s="3"/>
      <c r="I55" s="100"/>
      <c r="J55" s="3"/>
      <c r="K55" s="3"/>
      <c r="L55" s="25"/>
      <c r="S55" s="3"/>
      <c r="T55" s="3"/>
      <c r="U55" s="3"/>
      <c r="Z55" s="3"/>
      <c r="AA55" s="3"/>
      <c r="AB55" s="3"/>
      <c r="AC55" s="3"/>
      <c r="AD55" s="3"/>
      <c r="AE55" s="22"/>
      <c r="AF55" s="3"/>
      <c r="AG55" s="3"/>
      <c r="AH55" s="3"/>
      <c r="AI55" s="3"/>
      <c r="AJ55" s="3"/>
      <c r="AK55" s="3"/>
      <c r="AL55" s="3"/>
      <c r="AM55" s="3"/>
      <c r="AN55" s="3"/>
      <c r="AO55" s="3"/>
    </row>
    <row r="56" spans="1:41" s="28" customFormat="1" x14ac:dyDescent="0.3">
      <c r="A56" s="41"/>
      <c r="B56" s="3"/>
      <c r="C56" s="30"/>
      <c r="D56" s="30"/>
      <c r="E56" s="30"/>
      <c r="F56" s="70"/>
      <c r="G56" s="30"/>
      <c r="H56" s="30"/>
      <c r="I56" s="100"/>
      <c r="J56" s="30"/>
      <c r="K56" s="30"/>
      <c r="L56" s="25"/>
      <c r="M56" s="30"/>
      <c r="S56" s="3"/>
      <c r="T56" s="3"/>
      <c r="U56" s="3"/>
      <c r="Z56" s="3"/>
      <c r="AA56" s="3"/>
      <c r="AB56" s="3"/>
      <c r="AC56" s="3"/>
      <c r="AD56" s="3"/>
      <c r="AE56" s="22"/>
      <c r="AF56" s="3"/>
      <c r="AG56" s="3"/>
      <c r="AH56" s="3"/>
      <c r="AI56" s="3"/>
      <c r="AJ56" s="3"/>
      <c r="AK56" s="3"/>
      <c r="AL56" s="3"/>
      <c r="AM56" s="3"/>
      <c r="AN56" s="3"/>
      <c r="AO56" s="3"/>
    </row>
    <row r="57" spans="1:41" s="28" customFormat="1" x14ac:dyDescent="0.3">
      <c r="A57" s="41"/>
      <c r="B57" s="3"/>
      <c r="C57" s="30"/>
      <c r="D57" s="30"/>
      <c r="E57" s="30"/>
      <c r="F57" s="70"/>
      <c r="G57" s="30"/>
      <c r="H57" s="30"/>
      <c r="I57" s="100"/>
      <c r="J57" s="30"/>
      <c r="K57" s="30"/>
      <c r="L57" s="25"/>
      <c r="M57" s="30"/>
      <c r="S57" s="3"/>
      <c r="T57" s="3"/>
      <c r="U57" s="3"/>
      <c r="Z57" s="3"/>
      <c r="AA57" s="3"/>
      <c r="AB57" s="3"/>
      <c r="AC57" s="3"/>
      <c r="AD57" s="3"/>
      <c r="AE57" s="22"/>
      <c r="AF57" s="3"/>
      <c r="AG57" s="3"/>
      <c r="AH57" s="3"/>
      <c r="AI57" s="3"/>
      <c r="AJ57" s="3"/>
      <c r="AK57" s="3"/>
      <c r="AL57" s="3"/>
      <c r="AM57" s="3"/>
      <c r="AN57" s="3"/>
      <c r="AO57" s="3"/>
    </row>
    <row r="58" spans="1:41" s="28" customFormat="1" x14ac:dyDescent="0.3">
      <c r="A58" s="41"/>
      <c r="B58" s="3"/>
      <c r="C58" s="30"/>
      <c r="D58" s="25"/>
      <c r="E58" s="25"/>
      <c r="F58" s="70"/>
      <c r="G58" s="27"/>
      <c r="H58" s="27"/>
      <c r="I58" s="100"/>
      <c r="J58" s="3"/>
      <c r="K58" s="3"/>
      <c r="L58" s="25"/>
      <c r="M58" s="30"/>
      <c r="N58" s="30"/>
      <c r="S58" s="3"/>
      <c r="T58" s="3"/>
      <c r="U58" s="3"/>
      <c r="Z58" s="3"/>
      <c r="AA58" s="3"/>
      <c r="AB58" s="3"/>
      <c r="AC58" s="3"/>
      <c r="AD58" s="3"/>
      <c r="AE58" s="22"/>
      <c r="AF58" s="3"/>
      <c r="AG58" s="3"/>
      <c r="AH58" s="3"/>
      <c r="AI58" s="3"/>
      <c r="AJ58" s="3"/>
      <c r="AK58" s="3"/>
      <c r="AL58" s="3"/>
      <c r="AM58" s="3"/>
      <c r="AN58" s="3"/>
      <c r="AO58" s="3"/>
    </row>
    <row r="59" spans="1:41" s="28" customFormat="1" x14ac:dyDescent="0.3">
      <c r="A59" s="41"/>
      <c r="B59" s="3"/>
      <c r="C59" s="30"/>
      <c r="D59" s="25"/>
      <c r="E59" s="25"/>
      <c r="F59" s="70"/>
      <c r="G59" s="27"/>
      <c r="H59" s="27"/>
      <c r="I59" s="100"/>
      <c r="J59" s="3"/>
      <c r="K59" s="3"/>
      <c r="L59" s="25"/>
      <c r="M59" s="30"/>
      <c r="N59" s="30"/>
      <c r="S59" s="3"/>
      <c r="T59" s="3"/>
      <c r="U59" s="3"/>
      <c r="Z59" s="3"/>
      <c r="AA59" s="3"/>
      <c r="AB59" s="3"/>
      <c r="AC59" s="3"/>
      <c r="AD59" s="3"/>
      <c r="AE59" s="22"/>
      <c r="AF59" s="3"/>
      <c r="AG59" s="3"/>
      <c r="AH59" s="3"/>
      <c r="AI59" s="3"/>
      <c r="AJ59" s="3"/>
      <c r="AK59" s="3"/>
      <c r="AL59" s="3"/>
      <c r="AM59" s="3"/>
      <c r="AN59" s="3"/>
      <c r="AO59" s="3"/>
    </row>
    <row r="60" spans="1:41" s="28" customFormat="1" x14ac:dyDescent="0.3">
      <c r="A60" s="41"/>
      <c r="B60" s="3"/>
      <c r="C60" s="30"/>
      <c r="D60" s="25"/>
      <c r="E60" s="25"/>
      <c r="F60" s="70"/>
      <c r="G60" s="27"/>
      <c r="H60" s="27"/>
      <c r="I60" s="100"/>
      <c r="J60" s="3"/>
      <c r="K60" s="3"/>
      <c r="L60" s="25"/>
      <c r="M60" s="30"/>
      <c r="N60" s="30"/>
      <c r="S60" s="3"/>
      <c r="T60" s="3"/>
      <c r="U60" s="3"/>
      <c r="Z60" s="3"/>
      <c r="AA60" s="3"/>
      <c r="AB60" s="3"/>
      <c r="AC60" s="3"/>
      <c r="AD60" s="3"/>
      <c r="AE60" s="22"/>
      <c r="AF60" s="3"/>
      <c r="AG60" s="3"/>
      <c r="AH60" s="3"/>
      <c r="AI60" s="3"/>
      <c r="AJ60" s="3"/>
      <c r="AK60" s="3"/>
      <c r="AL60" s="3"/>
      <c r="AM60" s="3"/>
      <c r="AN60" s="3"/>
      <c r="AO60" s="3"/>
    </row>
    <row r="61" spans="1:41" s="28" customFormat="1" x14ac:dyDescent="0.3">
      <c r="A61" s="41"/>
      <c r="B61" s="3"/>
      <c r="C61" s="30"/>
      <c r="D61" s="25"/>
      <c r="E61" s="25"/>
      <c r="F61" s="70"/>
      <c r="G61" s="27"/>
      <c r="H61" s="27"/>
      <c r="I61" s="100"/>
      <c r="J61" s="3"/>
      <c r="K61" s="3"/>
      <c r="L61" s="25"/>
      <c r="M61" s="30"/>
      <c r="N61" s="30"/>
      <c r="S61" s="3"/>
      <c r="T61" s="3"/>
      <c r="U61" s="3"/>
      <c r="Z61" s="3"/>
      <c r="AA61" s="3"/>
      <c r="AB61" s="3"/>
      <c r="AC61" s="3"/>
      <c r="AD61" s="3"/>
      <c r="AE61" s="22"/>
      <c r="AF61" s="3"/>
      <c r="AG61" s="3"/>
      <c r="AH61" s="3"/>
      <c r="AI61" s="3"/>
      <c r="AJ61" s="3"/>
      <c r="AK61" s="3"/>
      <c r="AL61" s="3"/>
      <c r="AM61" s="3"/>
      <c r="AN61" s="3"/>
      <c r="AO61" s="3"/>
    </row>
    <row r="62" spans="1:41" s="28" customFormat="1" x14ac:dyDescent="0.3">
      <c r="A62" s="41"/>
      <c r="B62" s="3"/>
      <c r="C62" s="12"/>
      <c r="D62" s="623"/>
      <c r="E62" s="623"/>
      <c r="F62" s="623"/>
      <c r="G62" s="25"/>
      <c r="H62" s="25"/>
      <c r="I62" s="40"/>
      <c r="J62" s="30"/>
      <c r="K62" s="25"/>
      <c r="L62" s="25"/>
      <c r="M62" s="3"/>
      <c r="N62" s="72"/>
      <c r="O62" s="72"/>
      <c r="P62" s="72"/>
      <c r="Q62" s="72"/>
      <c r="T62" s="30"/>
      <c r="U62" s="30"/>
      <c r="Z62" s="3"/>
      <c r="AA62" s="3"/>
      <c r="AB62" s="3"/>
      <c r="AC62" s="3"/>
      <c r="AD62" s="3"/>
      <c r="AE62" s="22"/>
      <c r="AF62" s="3"/>
      <c r="AG62" s="3"/>
      <c r="AH62" s="3"/>
      <c r="AI62" s="3"/>
      <c r="AJ62" s="3"/>
      <c r="AK62" s="3"/>
      <c r="AL62" s="3"/>
      <c r="AM62" s="3"/>
      <c r="AN62" s="3"/>
      <c r="AO62" s="3"/>
    </row>
    <row r="63" spans="1:41" s="28" customFormat="1" x14ac:dyDescent="0.3">
      <c r="A63" s="41"/>
      <c r="B63" s="3"/>
      <c r="C63" s="12"/>
      <c r="D63" s="623"/>
      <c r="E63" s="623"/>
      <c r="F63" s="623"/>
      <c r="G63" s="25"/>
      <c r="H63" s="25"/>
      <c r="I63" s="40"/>
      <c r="J63" s="30"/>
      <c r="K63" s="25"/>
      <c r="L63" s="25"/>
      <c r="M63" s="3"/>
      <c r="N63" s="72"/>
      <c r="O63" s="72"/>
      <c r="P63" s="72"/>
      <c r="Q63" s="72"/>
      <c r="T63" s="30"/>
      <c r="U63" s="30"/>
      <c r="Z63" s="3"/>
      <c r="AA63" s="3"/>
      <c r="AB63" s="3"/>
      <c r="AC63" s="3"/>
      <c r="AD63" s="3"/>
      <c r="AE63" s="22"/>
      <c r="AF63" s="3"/>
      <c r="AG63" s="3"/>
      <c r="AH63" s="3"/>
      <c r="AI63" s="3"/>
      <c r="AJ63" s="3"/>
      <c r="AK63" s="3"/>
      <c r="AL63" s="3"/>
      <c r="AM63" s="3"/>
      <c r="AN63" s="3"/>
      <c r="AO63" s="3"/>
    </row>
    <row r="64" spans="1:41" s="28" customFormat="1" x14ac:dyDescent="0.3">
      <c r="A64" s="41"/>
      <c r="B64" s="3"/>
      <c r="C64" s="12"/>
      <c r="D64" s="623"/>
      <c r="E64" s="623"/>
      <c r="F64" s="623"/>
      <c r="G64" s="25"/>
      <c r="H64" s="25"/>
      <c r="I64" s="40"/>
      <c r="J64" s="30"/>
      <c r="K64" s="25"/>
      <c r="L64" s="25"/>
      <c r="M64" s="3"/>
      <c r="N64" s="72"/>
      <c r="O64" s="72"/>
      <c r="P64" s="72"/>
      <c r="Q64" s="72"/>
      <c r="T64" s="30"/>
      <c r="U64" s="30"/>
      <c r="Z64" s="3"/>
      <c r="AA64" s="3"/>
      <c r="AB64" s="3"/>
      <c r="AC64" s="3"/>
      <c r="AD64" s="3"/>
      <c r="AE64" s="22"/>
      <c r="AF64" s="3"/>
      <c r="AG64" s="3"/>
      <c r="AH64" s="3"/>
      <c r="AI64" s="3"/>
      <c r="AJ64" s="3"/>
      <c r="AK64" s="3"/>
      <c r="AL64" s="3"/>
      <c r="AM64" s="3"/>
      <c r="AN64" s="3"/>
      <c r="AO64" s="3"/>
    </row>
    <row r="65" spans="1:41" s="28" customFormat="1" x14ac:dyDescent="0.3">
      <c r="A65" s="41"/>
      <c r="B65" s="3"/>
      <c r="C65" s="12"/>
      <c r="D65" s="623"/>
      <c r="E65" s="623"/>
      <c r="F65" s="623"/>
      <c r="G65" s="25"/>
      <c r="H65" s="25"/>
      <c r="I65" s="40"/>
      <c r="J65" s="30"/>
      <c r="K65" s="25"/>
      <c r="L65" s="25"/>
      <c r="M65" s="3"/>
      <c r="N65" s="72"/>
      <c r="O65" s="72"/>
      <c r="P65" s="72"/>
      <c r="Q65" s="72"/>
      <c r="T65" s="30"/>
      <c r="U65" s="30"/>
      <c r="Z65" s="3"/>
      <c r="AA65" s="3"/>
      <c r="AB65" s="3"/>
      <c r="AC65" s="3"/>
      <c r="AD65" s="3"/>
      <c r="AE65" s="22"/>
      <c r="AF65" s="3"/>
      <c r="AG65" s="3"/>
      <c r="AH65" s="3"/>
      <c r="AI65" s="3"/>
      <c r="AJ65" s="3"/>
      <c r="AK65" s="3"/>
      <c r="AL65" s="3"/>
      <c r="AM65" s="3"/>
      <c r="AN65" s="3"/>
      <c r="AO65" s="3"/>
    </row>
    <row r="66" spans="1:41" s="28" customFormat="1" x14ac:dyDescent="0.3">
      <c r="A66" s="41"/>
      <c r="B66" s="3"/>
      <c r="C66" s="12"/>
      <c r="D66" s="623"/>
      <c r="E66" s="623"/>
      <c r="F66" s="623"/>
      <c r="G66" s="25"/>
      <c r="H66" s="25"/>
      <c r="I66" s="40"/>
      <c r="J66" s="30"/>
      <c r="K66" s="25"/>
      <c r="L66" s="25"/>
      <c r="M66" s="3"/>
      <c r="N66" s="72"/>
      <c r="O66" s="72"/>
      <c r="P66" s="72"/>
      <c r="Q66" s="72"/>
      <c r="T66" s="30"/>
      <c r="U66" s="30"/>
      <c r="Z66" s="3"/>
      <c r="AA66" s="3"/>
      <c r="AB66" s="3"/>
      <c r="AC66" s="3"/>
      <c r="AD66" s="3"/>
      <c r="AE66" s="22"/>
      <c r="AF66" s="3"/>
      <c r="AG66" s="3"/>
      <c r="AH66" s="3"/>
      <c r="AI66" s="3"/>
      <c r="AJ66" s="3"/>
      <c r="AK66" s="3"/>
      <c r="AL66" s="3"/>
      <c r="AM66" s="3"/>
      <c r="AN66" s="3"/>
      <c r="AO66" s="3"/>
    </row>
    <row r="67" spans="1:41" s="28" customFormat="1" x14ac:dyDescent="0.3">
      <c r="A67" s="41"/>
      <c r="B67" s="3"/>
      <c r="C67" s="12"/>
      <c r="D67" s="623"/>
      <c r="E67" s="623"/>
      <c r="F67" s="623"/>
      <c r="G67" s="25"/>
      <c r="H67" s="25"/>
      <c r="I67" s="40"/>
      <c r="J67" s="30"/>
      <c r="K67" s="25"/>
      <c r="L67" s="25"/>
      <c r="M67" s="3"/>
      <c r="N67" s="72"/>
      <c r="O67" s="72"/>
      <c r="P67" s="72"/>
      <c r="Q67" s="72"/>
      <c r="T67" s="30"/>
      <c r="U67" s="30"/>
      <c r="Z67" s="3"/>
      <c r="AA67" s="3"/>
      <c r="AB67" s="3"/>
      <c r="AC67" s="3"/>
      <c r="AD67" s="3"/>
      <c r="AE67" s="22"/>
      <c r="AF67" s="3"/>
      <c r="AG67" s="3"/>
      <c r="AH67" s="3"/>
      <c r="AI67" s="3"/>
      <c r="AJ67" s="3"/>
      <c r="AK67" s="3"/>
      <c r="AL67" s="3"/>
      <c r="AM67" s="3"/>
      <c r="AN67" s="3"/>
      <c r="AO67" s="3"/>
    </row>
    <row r="68" spans="1:41" s="28" customFormat="1" x14ac:dyDescent="0.3">
      <c r="A68" s="41"/>
      <c r="B68" s="3"/>
      <c r="C68" s="12"/>
      <c r="D68" s="623"/>
      <c r="E68" s="623"/>
      <c r="F68" s="623"/>
      <c r="G68" s="25"/>
      <c r="H68" s="25"/>
      <c r="I68" s="40"/>
      <c r="J68" s="30"/>
      <c r="K68" s="25"/>
      <c r="L68" s="25"/>
      <c r="M68" s="3"/>
      <c r="N68" s="72"/>
      <c r="O68" s="72"/>
      <c r="P68" s="72"/>
      <c r="Q68" s="72"/>
      <c r="T68" s="30"/>
      <c r="U68" s="30"/>
      <c r="Z68" s="3"/>
      <c r="AA68" s="3"/>
      <c r="AB68" s="3"/>
      <c r="AC68" s="3"/>
      <c r="AD68" s="3"/>
      <c r="AE68" s="22"/>
      <c r="AF68" s="3"/>
      <c r="AG68" s="3"/>
      <c r="AH68" s="3"/>
      <c r="AI68" s="3"/>
      <c r="AJ68" s="3"/>
      <c r="AK68" s="3"/>
      <c r="AL68" s="3"/>
      <c r="AM68" s="3"/>
      <c r="AN68" s="3"/>
      <c r="AO68" s="3"/>
    </row>
    <row r="69" spans="1:41" s="28" customFormat="1" x14ac:dyDescent="0.3">
      <c r="A69" s="41"/>
      <c r="B69" s="3"/>
      <c r="C69" s="12"/>
      <c r="D69" s="623"/>
      <c r="E69" s="623"/>
      <c r="F69" s="623"/>
      <c r="G69" s="25"/>
      <c r="H69" s="25"/>
      <c r="I69" s="40"/>
      <c r="J69" s="30"/>
      <c r="K69" s="25"/>
      <c r="L69" s="25"/>
      <c r="M69" s="3"/>
      <c r="N69" s="72"/>
      <c r="O69" s="72"/>
      <c r="P69" s="72"/>
      <c r="Q69" s="72"/>
      <c r="T69" s="30"/>
      <c r="U69" s="30"/>
      <c r="Z69" s="3"/>
      <c r="AA69" s="3"/>
      <c r="AB69" s="3"/>
      <c r="AC69" s="3"/>
      <c r="AD69" s="3"/>
      <c r="AE69" s="22"/>
      <c r="AF69" s="3"/>
      <c r="AG69" s="3"/>
      <c r="AH69" s="3"/>
      <c r="AI69" s="3"/>
      <c r="AJ69" s="3"/>
      <c r="AK69" s="3"/>
      <c r="AL69" s="3"/>
      <c r="AM69" s="3"/>
      <c r="AN69" s="3"/>
      <c r="AO69" s="3"/>
    </row>
    <row r="70" spans="1:41" s="28" customFormat="1" x14ac:dyDescent="0.3">
      <c r="A70" s="41"/>
      <c r="B70" s="3"/>
      <c r="C70" s="12"/>
      <c r="D70" s="623"/>
      <c r="E70" s="623"/>
      <c r="F70" s="623"/>
      <c r="G70" s="25"/>
      <c r="H70" s="25"/>
      <c r="I70" s="40"/>
      <c r="J70" s="30"/>
      <c r="K70" s="25"/>
      <c r="L70" s="25"/>
      <c r="M70" s="3"/>
      <c r="N70" s="72"/>
      <c r="O70" s="72"/>
      <c r="P70" s="72"/>
      <c r="Q70" s="72"/>
      <c r="T70" s="30"/>
      <c r="U70" s="30"/>
      <c r="Z70" s="3"/>
      <c r="AA70" s="3"/>
      <c r="AB70" s="3"/>
      <c r="AC70" s="3"/>
      <c r="AD70" s="3"/>
      <c r="AE70" s="22"/>
      <c r="AF70" s="3"/>
      <c r="AG70" s="3"/>
      <c r="AH70" s="3"/>
      <c r="AI70" s="3"/>
      <c r="AJ70" s="3"/>
      <c r="AK70" s="3"/>
      <c r="AL70" s="3"/>
      <c r="AM70" s="3"/>
      <c r="AN70" s="3"/>
      <c r="AO70" s="3"/>
    </row>
    <row r="71" spans="1:41" s="28" customFormat="1" x14ac:dyDescent="0.3">
      <c r="A71" s="41"/>
      <c r="B71" s="3"/>
      <c r="C71" s="12"/>
      <c r="D71" s="623"/>
      <c r="E71" s="623"/>
      <c r="F71" s="623"/>
      <c r="G71" s="25"/>
      <c r="H71" s="25"/>
      <c r="I71" s="40"/>
      <c r="J71" s="30"/>
      <c r="K71" s="25"/>
      <c r="L71" s="25"/>
      <c r="M71" s="3"/>
      <c r="N71" s="72"/>
      <c r="O71" s="72"/>
      <c r="P71" s="72"/>
      <c r="Q71" s="72"/>
      <c r="T71" s="30"/>
      <c r="U71" s="30"/>
      <c r="Z71" s="3"/>
      <c r="AA71" s="3"/>
      <c r="AB71" s="3"/>
      <c r="AC71" s="3"/>
      <c r="AD71" s="3"/>
      <c r="AE71" s="22"/>
      <c r="AF71" s="3"/>
      <c r="AG71" s="3"/>
      <c r="AH71" s="3"/>
      <c r="AI71" s="3"/>
      <c r="AJ71" s="3"/>
      <c r="AK71" s="3"/>
      <c r="AL71" s="3"/>
      <c r="AM71" s="3"/>
      <c r="AN71" s="3"/>
      <c r="AO71" s="3"/>
    </row>
    <row r="72" spans="1:41" s="28" customFormat="1" x14ac:dyDescent="0.3">
      <c r="A72" s="41"/>
      <c r="B72" s="3"/>
      <c r="C72" s="12"/>
      <c r="D72" s="623"/>
      <c r="E72" s="623"/>
      <c r="F72" s="623"/>
      <c r="G72" s="25"/>
      <c r="H72" s="25"/>
      <c r="I72" s="40"/>
      <c r="J72" s="30"/>
      <c r="K72" s="25"/>
      <c r="L72" s="25"/>
      <c r="M72" s="3"/>
      <c r="N72" s="72"/>
      <c r="O72" s="72"/>
      <c r="P72" s="72"/>
      <c r="Q72" s="72"/>
      <c r="T72" s="30"/>
      <c r="U72" s="30"/>
      <c r="Z72" s="3"/>
      <c r="AA72" s="3"/>
      <c r="AB72" s="3"/>
      <c r="AC72" s="3"/>
      <c r="AD72" s="3"/>
      <c r="AE72" s="22"/>
      <c r="AF72" s="3"/>
      <c r="AG72" s="3"/>
      <c r="AH72" s="3"/>
      <c r="AI72" s="3"/>
      <c r="AJ72" s="3"/>
      <c r="AK72" s="3"/>
      <c r="AL72" s="3"/>
      <c r="AM72" s="3"/>
      <c r="AN72" s="3"/>
      <c r="AO72" s="3"/>
    </row>
    <row r="73" spans="1:41" s="28" customFormat="1" x14ac:dyDescent="0.3">
      <c r="A73" s="41"/>
      <c r="B73" s="3"/>
      <c r="C73" s="12"/>
      <c r="D73" s="623"/>
      <c r="E73" s="623"/>
      <c r="F73" s="623"/>
      <c r="G73" s="25"/>
      <c r="H73" s="25"/>
      <c r="I73" s="40"/>
      <c r="J73" s="30"/>
      <c r="K73" s="25"/>
      <c r="L73" s="25"/>
      <c r="M73" s="3"/>
      <c r="N73" s="72"/>
      <c r="O73" s="72"/>
      <c r="P73" s="72"/>
      <c r="Q73" s="72"/>
      <c r="T73" s="30"/>
      <c r="U73" s="30"/>
      <c r="Z73" s="3"/>
      <c r="AA73" s="3"/>
      <c r="AB73" s="3"/>
      <c r="AC73" s="3"/>
      <c r="AD73" s="3"/>
      <c r="AE73" s="22"/>
      <c r="AF73" s="3"/>
      <c r="AG73" s="3"/>
      <c r="AH73" s="3"/>
      <c r="AI73" s="3"/>
      <c r="AJ73" s="3"/>
      <c r="AK73" s="3"/>
      <c r="AL73" s="3"/>
      <c r="AM73" s="3"/>
      <c r="AN73" s="3"/>
      <c r="AO73" s="3"/>
    </row>
    <row r="74" spans="1:41" s="28" customFormat="1" x14ac:dyDescent="0.3">
      <c r="A74" s="41"/>
      <c r="B74" s="3"/>
      <c r="C74" s="12"/>
      <c r="D74" s="623"/>
      <c r="E74" s="623"/>
      <c r="F74" s="623"/>
      <c r="G74" s="25"/>
      <c r="H74" s="25"/>
      <c r="I74" s="40"/>
      <c r="J74" s="30"/>
      <c r="K74" s="25"/>
      <c r="L74" s="25"/>
      <c r="M74" s="3"/>
      <c r="N74" s="72"/>
      <c r="O74" s="72"/>
      <c r="P74" s="72"/>
      <c r="Q74" s="72"/>
      <c r="T74" s="30"/>
      <c r="U74" s="30"/>
      <c r="Z74" s="3"/>
      <c r="AA74" s="3"/>
      <c r="AB74" s="3"/>
      <c r="AC74" s="3"/>
      <c r="AD74" s="3"/>
      <c r="AE74" s="22"/>
      <c r="AF74" s="3"/>
      <c r="AG74" s="3"/>
      <c r="AH74" s="3"/>
      <c r="AI74" s="3"/>
      <c r="AJ74" s="3"/>
      <c r="AK74" s="3"/>
      <c r="AL74" s="3"/>
      <c r="AM74" s="3"/>
      <c r="AN74" s="3"/>
      <c r="AO74" s="3"/>
    </row>
    <row r="75" spans="1:41" s="28" customFormat="1" x14ac:dyDescent="0.3">
      <c r="A75" s="41"/>
      <c r="B75" s="3"/>
      <c r="C75" s="12"/>
      <c r="D75" s="623"/>
      <c r="E75" s="623"/>
      <c r="F75" s="623"/>
      <c r="G75" s="25"/>
      <c r="H75" s="25"/>
      <c r="I75" s="40"/>
      <c r="J75" s="30"/>
      <c r="K75" s="25"/>
      <c r="L75" s="25"/>
      <c r="M75" s="3"/>
      <c r="N75" s="72"/>
      <c r="O75" s="72"/>
      <c r="P75" s="72"/>
      <c r="Q75" s="72"/>
      <c r="T75" s="30"/>
      <c r="U75" s="30"/>
      <c r="Z75" s="3"/>
      <c r="AA75" s="3"/>
      <c r="AB75" s="3"/>
      <c r="AC75" s="3"/>
      <c r="AD75" s="3"/>
      <c r="AE75" s="22"/>
      <c r="AF75" s="3"/>
      <c r="AG75" s="3"/>
      <c r="AH75" s="3"/>
      <c r="AI75" s="3"/>
      <c r="AJ75" s="3"/>
      <c r="AK75" s="3"/>
      <c r="AL75" s="3"/>
      <c r="AM75" s="3"/>
      <c r="AN75" s="3"/>
      <c r="AO75" s="3"/>
    </row>
    <row r="76" spans="1:41" s="28" customFormat="1" x14ac:dyDescent="0.3">
      <c r="A76" s="41"/>
      <c r="B76" s="3"/>
      <c r="C76" s="12"/>
      <c r="D76" s="623"/>
      <c r="E76" s="623"/>
      <c r="F76" s="623"/>
      <c r="G76" s="25"/>
      <c r="H76" s="25"/>
      <c r="I76" s="40"/>
      <c r="J76" s="30"/>
      <c r="K76" s="25"/>
      <c r="L76" s="25"/>
      <c r="M76" s="3"/>
      <c r="N76" s="72"/>
      <c r="O76" s="72"/>
      <c r="P76" s="72"/>
      <c r="Q76" s="72"/>
      <c r="T76" s="30"/>
      <c r="U76" s="30"/>
      <c r="Z76" s="3"/>
      <c r="AA76" s="3"/>
      <c r="AB76" s="3"/>
      <c r="AC76" s="3"/>
      <c r="AD76" s="3"/>
      <c r="AE76" s="22"/>
      <c r="AF76" s="3"/>
      <c r="AG76" s="3"/>
      <c r="AH76" s="3"/>
      <c r="AI76" s="3"/>
      <c r="AJ76" s="3"/>
      <c r="AK76" s="3"/>
      <c r="AL76" s="3"/>
      <c r="AM76" s="3"/>
      <c r="AN76" s="3"/>
      <c r="AO76" s="3"/>
    </row>
    <row r="77" spans="1:41" s="28" customFormat="1" x14ac:dyDescent="0.3">
      <c r="A77" s="41"/>
      <c r="B77" s="3"/>
      <c r="C77" s="12"/>
      <c r="D77" s="623"/>
      <c r="E77" s="623"/>
      <c r="F77" s="623"/>
      <c r="G77" s="25"/>
      <c r="H77" s="25"/>
      <c r="I77" s="40"/>
      <c r="J77" s="30"/>
      <c r="K77" s="25"/>
      <c r="L77" s="25"/>
      <c r="M77" s="3"/>
      <c r="N77" s="72"/>
      <c r="O77" s="72"/>
      <c r="P77" s="72"/>
      <c r="Q77" s="72"/>
      <c r="T77" s="30"/>
      <c r="U77" s="30"/>
      <c r="Z77" s="3"/>
      <c r="AA77" s="3"/>
      <c r="AB77" s="3"/>
      <c r="AC77" s="3"/>
      <c r="AD77" s="3"/>
      <c r="AE77" s="22"/>
      <c r="AF77" s="3"/>
      <c r="AG77" s="3"/>
      <c r="AH77" s="3"/>
      <c r="AI77" s="3"/>
      <c r="AJ77" s="3"/>
      <c r="AK77" s="3"/>
      <c r="AL77" s="3"/>
      <c r="AM77" s="3"/>
      <c r="AN77" s="3"/>
      <c r="AO77" s="3"/>
    </row>
    <row r="78" spans="1:41" s="28" customFormat="1" x14ac:dyDescent="0.3">
      <c r="A78" s="41"/>
      <c r="B78" s="3"/>
      <c r="C78" s="12"/>
      <c r="D78" s="623"/>
      <c r="E78" s="623"/>
      <c r="F78" s="623"/>
      <c r="G78" s="25"/>
      <c r="H78" s="25"/>
      <c r="I78" s="40"/>
      <c r="J78" s="30"/>
      <c r="K78" s="25"/>
      <c r="L78" s="25"/>
      <c r="M78" s="3"/>
      <c r="N78" s="72"/>
      <c r="O78" s="72"/>
      <c r="P78" s="72"/>
      <c r="Q78" s="72"/>
      <c r="T78" s="30"/>
      <c r="U78" s="30"/>
      <c r="Z78" s="3"/>
      <c r="AA78" s="3"/>
      <c r="AB78" s="3"/>
      <c r="AC78" s="3"/>
      <c r="AD78" s="3"/>
      <c r="AE78" s="22"/>
      <c r="AF78" s="3"/>
      <c r="AG78" s="3"/>
      <c r="AH78" s="3"/>
      <c r="AI78" s="3"/>
      <c r="AJ78" s="3"/>
      <c r="AK78" s="3"/>
      <c r="AL78" s="3"/>
      <c r="AM78" s="3"/>
      <c r="AN78" s="3"/>
      <c r="AO78" s="3"/>
    </row>
    <row r="79" spans="1:41" s="28" customFormat="1" x14ac:dyDescent="0.3">
      <c r="A79" s="41"/>
      <c r="B79" s="3"/>
      <c r="C79" s="12"/>
      <c r="D79" s="623"/>
      <c r="E79" s="623"/>
      <c r="F79" s="623"/>
      <c r="G79" s="25"/>
      <c r="H79" s="25"/>
      <c r="I79" s="40"/>
      <c r="J79" s="30"/>
      <c r="K79" s="25"/>
      <c r="L79" s="25"/>
      <c r="M79" s="3"/>
      <c r="N79" s="72"/>
      <c r="O79" s="72"/>
      <c r="P79" s="72"/>
      <c r="Q79" s="72"/>
      <c r="T79" s="30"/>
      <c r="U79" s="30"/>
      <c r="Z79" s="3"/>
      <c r="AA79" s="3"/>
      <c r="AB79" s="3"/>
      <c r="AC79" s="3"/>
      <c r="AD79" s="3"/>
      <c r="AE79" s="22"/>
      <c r="AF79" s="3"/>
      <c r="AG79" s="3"/>
      <c r="AH79" s="3"/>
      <c r="AI79" s="3"/>
      <c r="AJ79" s="3"/>
      <c r="AK79" s="3"/>
      <c r="AL79" s="3"/>
      <c r="AM79" s="3"/>
      <c r="AN79" s="3"/>
      <c r="AO79" s="3"/>
    </row>
    <row r="80" spans="1:41" s="28" customFormat="1" x14ac:dyDescent="0.3">
      <c r="A80" s="41"/>
      <c r="B80" s="3"/>
      <c r="C80" s="12"/>
      <c r="D80" s="623"/>
      <c r="E80" s="623"/>
      <c r="F80" s="623"/>
      <c r="G80" s="25"/>
      <c r="H80" s="25"/>
      <c r="I80" s="40"/>
      <c r="J80" s="30"/>
      <c r="K80" s="25"/>
      <c r="L80" s="25"/>
      <c r="M80" s="3"/>
      <c r="N80" s="72"/>
      <c r="O80" s="72"/>
      <c r="P80" s="72"/>
      <c r="Q80" s="72"/>
      <c r="T80" s="30"/>
      <c r="U80" s="30"/>
      <c r="Z80" s="3"/>
      <c r="AA80" s="3"/>
      <c r="AB80" s="3"/>
      <c r="AC80" s="3"/>
      <c r="AD80" s="3"/>
      <c r="AE80" s="22"/>
      <c r="AF80" s="3"/>
      <c r="AG80" s="3"/>
      <c r="AH80" s="3"/>
      <c r="AI80" s="3"/>
      <c r="AJ80" s="3"/>
      <c r="AK80" s="3"/>
      <c r="AL80" s="3"/>
      <c r="AM80" s="3"/>
      <c r="AN80" s="3"/>
      <c r="AO80" s="3"/>
    </row>
    <row r="81" spans="1:41" s="28" customFormat="1" x14ac:dyDescent="0.3">
      <c r="A81" s="41"/>
      <c r="B81" s="3"/>
      <c r="C81" s="12"/>
      <c r="D81" s="623"/>
      <c r="E81" s="623"/>
      <c r="F81" s="623"/>
      <c r="G81" s="25"/>
      <c r="H81" s="25"/>
      <c r="I81" s="40"/>
      <c r="J81" s="30"/>
      <c r="K81" s="25"/>
      <c r="L81" s="25"/>
      <c r="M81" s="3"/>
      <c r="N81" s="72"/>
      <c r="O81" s="72"/>
      <c r="P81" s="72"/>
      <c r="Q81" s="72"/>
      <c r="T81" s="30"/>
      <c r="U81" s="30"/>
      <c r="Z81" s="3"/>
      <c r="AA81" s="3"/>
      <c r="AB81" s="3"/>
      <c r="AC81" s="3"/>
      <c r="AD81" s="3"/>
      <c r="AE81" s="22"/>
      <c r="AF81" s="3"/>
      <c r="AG81" s="3"/>
      <c r="AH81" s="3"/>
      <c r="AI81" s="3"/>
      <c r="AJ81" s="3"/>
      <c r="AK81" s="3"/>
      <c r="AL81" s="3"/>
      <c r="AM81" s="3"/>
      <c r="AN81" s="3"/>
      <c r="AO81" s="3"/>
    </row>
    <row r="82" spans="1:41" s="28" customFormat="1" x14ac:dyDescent="0.3">
      <c r="A82" s="41"/>
      <c r="B82" s="3"/>
      <c r="C82" s="12"/>
      <c r="D82" s="623"/>
      <c r="E82" s="623"/>
      <c r="F82" s="623"/>
      <c r="G82" s="25"/>
      <c r="H82" s="25"/>
      <c r="I82" s="40"/>
      <c r="J82" s="30"/>
      <c r="K82" s="25"/>
      <c r="L82" s="25"/>
      <c r="M82" s="3"/>
      <c r="N82" s="72"/>
      <c r="O82" s="72"/>
      <c r="P82" s="72"/>
      <c r="Q82" s="72"/>
      <c r="T82" s="30"/>
      <c r="U82" s="30"/>
      <c r="Z82" s="3"/>
      <c r="AA82" s="3"/>
      <c r="AB82" s="3"/>
      <c r="AC82" s="3"/>
      <c r="AD82" s="3"/>
      <c r="AE82" s="22"/>
      <c r="AF82" s="3"/>
      <c r="AG82" s="3"/>
      <c r="AH82" s="3"/>
      <c r="AI82" s="3"/>
      <c r="AJ82" s="3"/>
      <c r="AK82" s="3"/>
      <c r="AL82" s="3"/>
      <c r="AM82" s="3"/>
      <c r="AN82" s="3"/>
      <c r="AO82" s="3"/>
    </row>
    <row r="83" spans="1:41" s="28" customFormat="1" x14ac:dyDescent="0.3">
      <c r="A83" s="41"/>
      <c r="B83" s="3"/>
      <c r="C83" s="12"/>
      <c r="D83" s="623"/>
      <c r="E83" s="623"/>
      <c r="F83" s="623"/>
      <c r="G83" s="25"/>
      <c r="H83" s="25"/>
      <c r="I83" s="40"/>
      <c r="J83" s="30"/>
      <c r="K83" s="25"/>
      <c r="L83" s="25"/>
      <c r="M83" s="3"/>
      <c r="N83" s="72"/>
      <c r="O83" s="72"/>
      <c r="P83" s="72"/>
      <c r="Q83" s="72"/>
      <c r="T83" s="30"/>
      <c r="U83" s="30"/>
      <c r="Z83" s="3"/>
      <c r="AA83" s="3"/>
      <c r="AB83" s="3"/>
      <c r="AC83" s="3"/>
      <c r="AD83" s="3"/>
      <c r="AE83" s="22"/>
      <c r="AF83" s="3"/>
      <c r="AG83" s="3"/>
      <c r="AH83" s="3"/>
      <c r="AI83" s="3"/>
      <c r="AJ83" s="3"/>
      <c r="AK83" s="3"/>
      <c r="AL83" s="3"/>
      <c r="AM83" s="3"/>
      <c r="AN83" s="3"/>
      <c r="AO83" s="3"/>
    </row>
    <row r="84" spans="1:41" s="28" customFormat="1" x14ac:dyDescent="0.3">
      <c r="A84" s="41"/>
      <c r="B84" s="3"/>
      <c r="C84" s="12"/>
      <c r="D84" s="623"/>
      <c r="E84" s="623"/>
      <c r="F84" s="623"/>
      <c r="G84" s="25"/>
      <c r="H84" s="25"/>
      <c r="I84" s="40"/>
      <c r="J84" s="30"/>
      <c r="K84" s="25"/>
      <c r="L84" s="25"/>
      <c r="M84" s="3"/>
      <c r="N84" s="72"/>
      <c r="O84" s="72"/>
      <c r="P84" s="72"/>
      <c r="Q84" s="72"/>
      <c r="T84" s="30"/>
      <c r="U84" s="30"/>
      <c r="Z84" s="3"/>
      <c r="AA84" s="3"/>
      <c r="AB84" s="3"/>
      <c r="AC84" s="3"/>
      <c r="AD84" s="3"/>
      <c r="AE84" s="22"/>
      <c r="AF84" s="3"/>
      <c r="AG84" s="3"/>
      <c r="AH84" s="3"/>
      <c r="AI84" s="3"/>
      <c r="AJ84" s="3"/>
      <c r="AK84" s="3"/>
      <c r="AL84" s="3"/>
      <c r="AM84" s="3"/>
      <c r="AN84" s="3"/>
      <c r="AO84" s="3"/>
    </row>
    <row r="85" spans="1:41" s="28" customFormat="1" x14ac:dyDescent="0.3">
      <c r="A85" s="41"/>
      <c r="B85" s="3"/>
      <c r="C85" s="12"/>
      <c r="D85" s="623"/>
      <c r="E85" s="623"/>
      <c r="F85" s="623"/>
      <c r="G85" s="25"/>
      <c r="H85" s="25"/>
      <c r="I85" s="40"/>
      <c r="J85" s="30"/>
      <c r="K85" s="25"/>
      <c r="L85" s="25"/>
      <c r="M85" s="3"/>
      <c r="N85" s="72"/>
      <c r="O85" s="72"/>
      <c r="P85" s="72"/>
      <c r="Q85" s="72"/>
      <c r="T85" s="30"/>
      <c r="U85" s="30"/>
      <c r="Z85" s="3"/>
      <c r="AA85" s="3"/>
      <c r="AB85" s="3"/>
      <c r="AC85" s="3"/>
      <c r="AD85" s="3"/>
      <c r="AE85" s="22"/>
      <c r="AF85" s="3"/>
      <c r="AG85" s="3"/>
      <c r="AH85" s="3"/>
      <c r="AI85" s="3"/>
      <c r="AJ85" s="3"/>
      <c r="AK85" s="3"/>
      <c r="AL85" s="3"/>
      <c r="AM85" s="3"/>
      <c r="AN85" s="3"/>
      <c r="AO85" s="3"/>
    </row>
    <row r="86" spans="1:41" s="28" customFormat="1" x14ac:dyDescent="0.3">
      <c r="A86" s="41"/>
      <c r="B86" s="3"/>
      <c r="C86" s="12"/>
      <c r="D86" s="623"/>
      <c r="E86" s="623"/>
      <c r="F86" s="623"/>
      <c r="G86" s="25"/>
      <c r="H86" s="25"/>
      <c r="I86" s="40"/>
      <c r="J86" s="30"/>
      <c r="K86" s="25"/>
      <c r="L86" s="25"/>
      <c r="M86" s="3"/>
      <c r="N86" s="72"/>
      <c r="O86" s="72"/>
      <c r="P86" s="72"/>
      <c r="Q86" s="72"/>
      <c r="T86" s="30"/>
      <c r="U86" s="30"/>
      <c r="Z86" s="3"/>
      <c r="AA86" s="3"/>
      <c r="AB86" s="3"/>
      <c r="AC86" s="3"/>
      <c r="AD86" s="3"/>
      <c r="AE86" s="22"/>
      <c r="AF86" s="3"/>
      <c r="AG86" s="3"/>
      <c r="AH86" s="3"/>
      <c r="AI86" s="3"/>
      <c r="AJ86" s="3"/>
      <c r="AK86" s="3"/>
      <c r="AL86" s="3"/>
      <c r="AM86" s="3"/>
      <c r="AN86" s="3"/>
      <c r="AO86" s="3"/>
    </row>
    <row r="87" spans="1:41" s="28" customFormat="1" x14ac:dyDescent="0.3">
      <c r="A87" s="41"/>
      <c r="B87" s="3"/>
      <c r="C87" s="12"/>
      <c r="D87" s="623"/>
      <c r="E87" s="623"/>
      <c r="F87" s="623"/>
      <c r="G87" s="25"/>
      <c r="H87" s="25"/>
      <c r="I87" s="40"/>
      <c r="J87" s="30"/>
      <c r="K87" s="25"/>
      <c r="L87" s="25"/>
      <c r="M87" s="3"/>
      <c r="N87" s="72"/>
      <c r="O87" s="72"/>
      <c r="P87" s="72"/>
      <c r="Q87" s="72"/>
      <c r="T87" s="30"/>
      <c r="U87" s="30"/>
      <c r="Z87" s="3"/>
      <c r="AA87" s="3"/>
      <c r="AB87" s="3"/>
      <c r="AC87" s="3"/>
      <c r="AD87" s="3"/>
      <c r="AE87" s="22"/>
      <c r="AF87" s="3"/>
      <c r="AG87" s="3"/>
      <c r="AH87" s="3"/>
      <c r="AI87" s="3"/>
      <c r="AJ87" s="3"/>
      <c r="AK87" s="3"/>
      <c r="AL87" s="3"/>
      <c r="AM87" s="3"/>
      <c r="AN87" s="3"/>
      <c r="AO87" s="3"/>
    </row>
    <row r="88" spans="1:41" s="28" customFormat="1" x14ac:dyDescent="0.3">
      <c r="A88" s="41"/>
      <c r="B88" s="3"/>
      <c r="C88" s="12"/>
      <c r="D88" s="623"/>
      <c r="E88" s="623"/>
      <c r="F88" s="623"/>
      <c r="G88" s="25"/>
      <c r="H88" s="25"/>
      <c r="I88" s="40"/>
      <c r="J88" s="30"/>
      <c r="K88" s="25"/>
      <c r="L88" s="25"/>
      <c r="M88" s="3"/>
      <c r="N88" s="72"/>
      <c r="O88" s="72"/>
      <c r="P88" s="72"/>
      <c r="Q88" s="72"/>
      <c r="T88" s="30"/>
      <c r="U88" s="30"/>
      <c r="Z88" s="3"/>
      <c r="AA88" s="3"/>
      <c r="AB88" s="3"/>
      <c r="AC88" s="3"/>
      <c r="AD88" s="3"/>
      <c r="AE88" s="22"/>
      <c r="AF88" s="3"/>
      <c r="AG88" s="3"/>
      <c r="AH88" s="3"/>
      <c r="AI88" s="3"/>
      <c r="AJ88" s="3"/>
      <c r="AK88" s="3"/>
      <c r="AL88" s="3"/>
      <c r="AM88" s="3"/>
      <c r="AN88" s="3"/>
      <c r="AO88" s="3"/>
    </row>
    <row r="89" spans="1:41" s="28" customFormat="1" x14ac:dyDescent="0.3">
      <c r="A89" s="41"/>
      <c r="B89" s="3"/>
      <c r="C89" s="12"/>
      <c r="D89" s="623"/>
      <c r="E89" s="623"/>
      <c r="F89" s="623"/>
      <c r="G89" s="25"/>
      <c r="H89" s="25"/>
      <c r="I89" s="40"/>
      <c r="J89" s="30"/>
      <c r="K89" s="25"/>
      <c r="L89" s="25"/>
      <c r="M89" s="3"/>
      <c r="N89" s="72"/>
      <c r="O89" s="72"/>
      <c r="P89" s="72"/>
      <c r="Q89" s="72"/>
      <c r="T89" s="30"/>
      <c r="U89" s="30"/>
      <c r="Z89" s="3"/>
      <c r="AA89" s="3"/>
      <c r="AB89" s="3"/>
      <c r="AC89" s="3"/>
      <c r="AD89" s="3"/>
      <c r="AE89" s="22"/>
      <c r="AF89" s="3"/>
      <c r="AG89" s="3"/>
      <c r="AH89" s="3"/>
      <c r="AI89" s="3"/>
      <c r="AJ89" s="3"/>
      <c r="AK89" s="3"/>
      <c r="AL89" s="3"/>
      <c r="AM89" s="3"/>
      <c r="AN89" s="3"/>
      <c r="AO89" s="3"/>
    </row>
    <row r="90" spans="1:41" s="28" customFormat="1" x14ac:dyDescent="0.3">
      <c r="A90" s="41"/>
      <c r="B90" s="3"/>
      <c r="C90" s="12"/>
      <c r="D90" s="623"/>
      <c r="E90" s="623"/>
      <c r="F90" s="623"/>
      <c r="G90" s="25"/>
      <c r="H90" s="25"/>
      <c r="I90" s="40"/>
      <c r="J90" s="30"/>
      <c r="K90" s="25"/>
      <c r="L90" s="25"/>
      <c r="M90" s="3"/>
      <c r="N90" s="72"/>
      <c r="O90" s="72"/>
      <c r="P90" s="72"/>
      <c r="Q90" s="72"/>
      <c r="T90" s="30"/>
      <c r="U90" s="30"/>
      <c r="Z90" s="3"/>
      <c r="AA90" s="3"/>
      <c r="AB90" s="3"/>
      <c r="AC90" s="3"/>
      <c r="AD90" s="3"/>
      <c r="AE90" s="22"/>
      <c r="AF90" s="3"/>
      <c r="AG90" s="3"/>
      <c r="AH90" s="3"/>
      <c r="AI90" s="3"/>
      <c r="AJ90" s="3"/>
      <c r="AK90" s="3"/>
      <c r="AL90" s="3"/>
      <c r="AM90" s="3"/>
      <c r="AN90" s="3"/>
      <c r="AO90" s="3"/>
    </row>
    <row r="91" spans="1:41" s="28" customFormat="1" x14ac:dyDescent="0.3">
      <c r="A91" s="41"/>
      <c r="B91" s="3"/>
      <c r="C91" s="12"/>
      <c r="D91" s="623"/>
      <c r="E91" s="623"/>
      <c r="F91" s="623"/>
      <c r="G91" s="25"/>
      <c r="H91" s="25"/>
      <c r="I91" s="40"/>
      <c r="J91" s="30"/>
      <c r="K91" s="25"/>
      <c r="L91" s="25"/>
      <c r="M91" s="3"/>
      <c r="N91" s="72"/>
      <c r="O91" s="72"/>
      <c r="P91" s="72"/>
      <c r="Q91" s="72"/>
      <c r="T91" s="30"/>
      <c r="U91" s="30"/>
      <c r="Z91" s="3"/>
      <c r="AA91" s="3"/>
      <c r="AB91" s="3"/>
      <c r="AC91" s="3"/>
      <c r="AD91" s="3"/>
      <c r="AE91" s="22"/>
      <c r="AF91" s="3"/>
      <c r="AG91" s="3"/>
      <c r="AH91" s="3"/>
      <c r="AI91" s="3"/>
      <c r="AJ91" s="3"/>
      <c r="AK91" s="3"/>
      <c r="AL91" s="3"/>
      <c r="AM91" s="3"/>
      <c r="AN91" s="3"/>
      <c r="AO91" s="3"/>
    </row>
    <row r="92" spans="1:41" s="28" customFormat="1" x14ac:dyDescent="0.3">
      <c r="A92" s="41"/>
      <c r="B92" s="3"/>
      <c r="C92" s="12"/>
      <c r="D92" s="623"/>
      <c r="E92" s="623"/>
      <c r="F92" s="623"/>
      <c r="G92" s="25"/>
      <c r="H92" s="25"/>
      <c r="I92" s="40"/>
      <c r="J92" s="30"/>
      <c r="K92" s="25"/>
      <c r="L92" s="25"/>
      <c r="M92" s="3"/>
      <c r="N92" s="72"/>
      <c r="O92" s="72"/>
      <c r="P92" s="72"/>
      <c r="Q92" s="72"/>
      <c r="T92" s="30"/>
      <c r="U92" s="30"/>
      <c r="Z92" s="3"/>
      <c r="AA92" s="3"/>
      <c r="AB92" s="3"/>
      <c r="AC92" s="3"/>
      <c r="AD92" s="3"/>
      <c r="AE92" s="22"/>
      <c r="AF92" s="3"/>
      <c r="AG92" s="3"/>
      <c r="AH92" s="3"/>
      <c r="AI92" s="3"/>
      <c r="AJ92" s="3"/>
      <c r="AK92" s="3"/>
      <c r="AL92" s="3"/>
      <c r="AM92" s="3"/>
      <c r="AN92" s="3"/>
      <c r="AO92" s="3"/>
    </row>
    <row r="93" spans="1:41" s="28" customFormat="1" x14ac:dyDescent="0.3">
      <c r="A93" s="41"/>
      <c r="B93" s="3"/>
      <c r="C93" s="12"/>
      <c r="D93" s="623"/>
      <c r="E93" s="623"/>
      <c r="F93" s="623"/>
      <c r="G93" s="25"/>
      <c r="H93" s="25"/>
      <c r="I93" s="40"/>
      <c r="J93" s="30"/>
      <c r="K93" s="25"/>
      <c r="L93" s="25"/>
      <c r="M93" s="3"/>
      <c r="N93" s="72"/>
      <c r="O93" s="72"/>
      <c r="P93" s="72"/>
      <c r="Q93" s="72"/>
      <c r="T93" s="30"/>
      <c r="U93" s="30"/>
      <c r="Z93" s="3"/>
      <c r="AA93" s="3"/>
      <c r="AB93" s="3"/>
      <c r="AC93" s="3"/>
      <c r="AD93" s="3"/>
      <c r="AE93" s="22"/>
      <c r="AF93" s="3"/>
      <c r="AG93" s="3"/>
      <c r="AH93" s="3"/>
      <c r="AI93" s="3"/>
      <c r="AJ93" s="3"/>
      <c r="AK93" s="3"/>
      <c r="AL93" s="3"/>
      <c r="AM93" s="3"/>
      <c r="AN93" s="3"/>
      <c r="AO93" s="3"/>
    </row>
    <row r="94" spans="1:41" s="28" customFormat="1" x14ac:dyDescent="0.3">
      <c r="A94" s="41"/>
      <c r="B94" s="3"/>
      <c r="C94" s="12"/>
      <c r="D94" s="623"/>
      <c r="E94" s="623"/>
      <c r="F94" s="623"/>
      <c r="G94" s="25"/>
      <c r="H94" s="25"/>
      <c r="I94" s="40"/>
      <c r="J94" s="30"/>
      <c r="K94" s="25"/>
      <c r="L94" s="25"/>
      <c r="M94" s="3"/>
      <c r="N94" s="72"/>
      <c r="O94" s="72"/>
      <c r="P94" s="72"/>
      <c r="Q94" s="72"/>
      <c r="T94" s="30"/>
      <c r="U94" s="30"/>
      <c r="Z94" s="3"/>
      <c r="AA94" s="3"/>
      <c r="AB94" s="3"/>
      <c r="AC94" s="3"/>
      <c r="AD94" s="3"/>
      <c r="AE94" s="22"/>
      <c r="AF94" s="3"/>
      <c r="AG94" s="3"/>
      <c r="AH94" s="3"/>
      <c r="AI94" s="3"/>
      <c r="AJ94" s="3"/>
      <c r="AK94" s="3"/>
      <c r="AL94" s="3"/>
      <c r="AM94" s="3"/>
      <c r="AN94" s="3"/>
      <c r="AO94" s="3"/>
    </row>
    <row r="95" spans="1:41" s="28" customFormat="1" x14ac:dyDescent="0.3">
      <c r="A95" s="41"/>
      <c r="B95" s="3"/>
      <c r="C95" s="12"/>
      <c r="D95" s="623"/>
      <c r="E95" s="623"/>
      <c r="F95" s="623"/>
      <c r="G95" s="25"/>
      <c r="H95" s="25"/>
      <c r="I95" s="40"/>
      <c r="J95" s="30"/>
      <c r="K95" s="25"/>
      <c r="L95" s="25"/>
      <c r="M95" s="3"/>
      <c r="N95" s="72"/>
      <c r="O95" s="72"/>
      <c r="P95" s="72"/>
      <c r="Q95" s="72"/>
      <c r="T95" s="30"/>
      <c r="U95" s="30"/>
      <c r="Z95" s="3"/>
      <c r="AA95" s="3"/>
      <c r="AB95" s="3"/>
      <c r="AC95" s="3"/>
      <c r="AD95" s="3"/>
      <c r="AE95" s="22"/>
      <c r="AF95" s="3"/>
      <c r="AG95" s="3"/>
      <c r="AH95" s="3"/>
      <c r="AI95" s="3"/>
      <c r="AJ95" s="3"/>
      <c r="AK95" s="3"/>
      <c r="AL95" s="3"/>
      <c r="AM95" s="3"/>
      <c r="AN95" s="3"/>
      <c r="AO95" s="3"/>
    </row>
    <row r="96" spans="1:41" s="28" customFormat="1" x14ac:dyDescent="0.3">
      <c r="A96" s="41"/>
      <c r="B96" s="3"/>
      <c r="C96" s="12"/>
      <c r="D96" s="623"/>
      <c r="E96" s="623"/>
      <c r="F96" s="623"/>
      <c r="G96" s="25"/>
      <c r="H96" s="25"/>
      <c r="I96" s="40"/>
      <c r="J96" s="30"/>
      <c r="K96" s="25"/>
      <c r="L96" s="25"/>
      <c r="M96" s="3"/>
      <c r="N96" s="72"/>
      <c r="O96" s="72"/>
      <c r="P96" s="72"/>
      <c r="Q96" s="72"/>
      <c r="T96" s="30"/>
      <c r="U96" s="30"/>
      <c r="Z96" s="3"/>
      <c r="AA96" s="3"/>
      <c r="AB96" s="3"/>
      <c r="AC96" s="3"/>
      <c r="AD96" s="3"/>
      <c r="AE96" s="22"/>
      <c r="AF96" s="3"/>
      <c r="AG96" s="3"/>
      <c r="AH96" s="3"/>
      <c r="AI96" s="3"/>
      <c r="AJ96" s="3"/>
      <c r="AK96" s="3"/>
      <c r="AL96" s="3"/>
      <c r="AM96" s="3"/>
      <c r="AN96" s="3"/>
      <c r="AO96" s="3"/>
    </row>
    <row r="97" spans="1:41" s="28" customFormat="1" x14ac:dyDescent="0.3">
      <c r="A97" s="41"/>
      <c r="B97" s="3"/>
      <c r="C97" s="12"/>
      <c r="D97" s="623"/>
      <c r="E97" s="623"/>
      <c r="F97" s="623"/>
      <c r="G97" s="25"/>
      <c r="H97" s="25"/>
      <c r="I97" s="40"/>
      <c r="J97" s="30"/>
      <c r="K97" s="25"/>
      <c r="L97" s="25"/>
      <c r="M97" s="3"/>
      <c r="N97" s="72"/>
      <c r="O97" s="72"/>
      <c r="P97" s="72"/>
      <c r="Q97" s="72"/>
      <c r="T97" s="30"/>
      <c r="U97" s="30"/>
      <c r="Z97" s="3"/>
      <c r="AA97" s="3"/>
      <c r="AB97" s="3"/>
      <c r="AC97" s="3"/>
      <c r="AD97" s="3"/>
      <c r="AE97" s="22"/>
      <c r="AF97" s="3"/>
      <c r="AG97" s="3"/>
      <c r="AH97" s="3"/>
      <c r="AI97" s="3"/>
      <c r="AJ97" s="3"/>
      <c r="AK97" s="3"/>
      <c r="AL97" s="3"/>
      <c r="AM97" s="3"/>
      <c r="AN97" s="3"/>
      <c r="AO97" s="3"/>
    </row>
    <row r="98" spans="1:41" s="28" customFormat="1" x14ac:dyDescent="0.3">
      <c r="A98" s="41"/>
      <c r="B98" s="3"/>
      <c r="C98" s="12"/>
      <c r="D98" s="623"/>
      <c r="E98" s="623"/>
      <c r="F98" s="623"/>
      <c r="G98" s="25"/>
      <c r="H98" s="25"/>
      <c r="I98" s="40"/>
      <c r="J98" s="30"/>
      <c r="K98" s="25"/>
      <c r="L98" s="25"/>
      <c r="M98" s="3"/>
      <c r="N98" s="72"/>
      <c r="O98" s="72"/>
      <c r="P98" s="72"/>
      <c r="Q98" s="72"/>
      <c r="T98" s="30"/>
      <c r="U98" s="30"/>
      <c r="Z98" s="3"/>
      <c r="AA98" s="3"/>
      <c r="AB98" s="3"/>
      <c r="AC98" s="3"/>
      <c r="AD98" s="3"/>
      <c r="AE98" s="22"/>
      <c r="AF98" s="3"/>
      <c r="AG98" s="3"/>
      <c r="AH98" s="3"/>
      <c r="AI98" s="3"/>
      <c r="AJ98" s="3"/>
      <c r="AK98" s="3"/>
      <c r="AL98" s="3"/>
      <c r="AM98" s="3"/>
      <c r="AN98" s="3"/>
      <c r="AO98" s="3"/>
    </row>
    <row r="99" spans="1:41" s="28" customFormat="1" x14ac:dyDescent="0.3">
      <c r="A99" s="41"/>
      <c r="B99" s="3"/>
      <c r="C99" s="12"/>
      <c r="D99" s="623"/>
      <c r="E99" s="623"/>
      <c r="F99" s="623"/>
      <c r="G99" s="25"/>
      <c r="H99" s="25"/>
      <c r="I99" s="40"/>
      <c r="J99" s="30"/>
      <c r="K99" s="25"/>
      <c r="L99" s="25"/>
      <c r="M99" s="3"/>
      <c r="N99" s="72"/>
      <c r="O99" s="72"/>
      <c r="P99" s="72"/>
      <c r="Q99" s="72"/>
      <c r="T99" s="30"/>
      <c r="U99" s="30"/>
      <c r="Z99" s="3"/>
      <c r="AA99" s="3"/>
      <c r="AB99" s="3"/>
      <c r="AC99" s="3"/>
      <c r="AD99" s="3"/>
      <c r="AE99" s="22"/>
      <c r="AF99" s="3"/>
      <c r="AG99" s="3"/>
      <c r="AH99" s="3"/>
      <c r="AI99" s="3"/>
      <c r="AJ99" s="3"/>
      <c r="AK99" s="3"/>
      <c r="AL99" s="3"/>
      <c r="AM99" s="3"/>
      <c r="AN99" s="3"/>
      <c r="AO99" s="3"/>
    </row>
    <row r="100" spans="1:41" s="28" customFormat="1" x14ac:dyDescent="0.3">
      <c r="A100" s="41"/>
      <c r="B100" s="3"/>
      <c r="C100" s="12"/>
      <c r="D100" s="623"/>
      <c r="E100" s="623"/>
      <c r="F100" s="623"/>
      <c r="G100" s="25"/>
      <c r="H100" s="25"/>
      <c r="I100" s="40"/>
      <c r="J100" s="30"/>
      <c r="K100" s="25"/>
      <c r="L100" s="25"/>
      <c r="M100" s="3"/>
      <c r="N100" s="72"/>
      <c r="O100" s="72"/>
      <c r="P100" s="72"/>
      <c r="Q100" s="72"/>
      <c r="T100" s="30"/>
      <c r="U100" s="30"/>
      <c r="Z100" s="3"/>
      <c r="AA100" s="3"/>
      <c r="AB100" s="3"/>
      <c r="AC100" s="3"/>
      <c r="AD100" s="3"/>
      <c r="AE100" s="22"/>
      <c r="AF100" s="3"/>
      <c r="AG100" s="3"/>
      <c r="AH100" s="3"/>
      <c r="AI100" s="3"/>
      <c r="AJ100" s="3"/>
      <c r="AK100" s="3"/>
      <c r="AL100" s="3"/>
      <c r="AM100" s="3"/>
      <c r="AN100" s="3"/>
      <c r="AO100" s="3"/>
    </row>
    <row r="101" spans="1:41" s="28" customFormat="1" x14ac:dyDescent="0.3">
      <c r="A101" s="41"/>
      <c r="B101" s="3"/>
      <c r="C101" s="12"/>
      <c r="D101" s="623"/>
      <c r="E101" s="623"/>
      <c r="F101" s="623"/>
      <c r="G101" s="25"/>
      <c r="H101" s="25"/>
      <c r="I101" s="40"/>
      <c r="J101" s="30"/>
      <c r="K101" s="25"/>
      <c r="L101" s="25"/>
      <c r="M101" s="3"/>
      <c r="N101" s="72"/>
      <c r="O101" s="72"/>
      <c r="P101" s="72"/>
      <c r="Q101" s="72"/>
      <c r="T101" s="30"/>
      <c r="U101" s="30"/>
      <c r="Z101" s="3"/>
      <c r="AA101" s="3"/>
      <c r="AB101" s="3"/>
      <c r="AC101" s="3"/>
      <c r="AD101" s="3"/>
      <c r="AE101" s="22"/>
      <c r="AF101" s="3"/>
      <c r="AG101" s="3"/>
      <c r="AH101" s="3"/>
      <c r="AI101" s="3"/>
      <c r="AJ101" s="3"/>
      <c r="AK101" s="3"/>
      <c r="AL101" s="3"/>
      <c r="AM101" s="3"/>
      <c r="AN101" s="3"/>
      <c r="AO101" s="3"/>
    </row>
    <row r="102" spans="1:41" s="28" customFormat="1" x14ac:dyDescent="0.3">
      <c r="A102" s="41"/>
      <c r="B102" s="3"/>
      <c r="C102" s="12"/>
      <c r="D102" s="623"/>
      <c r="E102" s="623"/>
      <c r="F102" s="623"/>
      <c r="G102" s="25"/>
      <c r="H102" s="25"/>
      <c r="I102" s="40"/>
      <c r="J102" s="30"/>
      <c r="K102" s="25"/>
      <c r="L102" s="25"/>
      <c r="M102" s="3"/>
      <c r="N102" s="72"/>
      <c r="O102" s="72"/>
      <c r="P102" s="72"/>
      <c r="Q102" s="72"/>
      <c r="T102" s="30"/>
      <c r="U102" s="30"/>
      <c r="Z102" s="3"/>
      <c r="AA102" s="3"/>
      <c r="AB102" s="3"/>
      <c r="AC102" s="3"/>
      <c r="AD102" s="3"/>
      <c r="AE102" s="22"/>
      <c r="AF102" s="3"/>
      <c r="AG102" s="3"/>
      <c r="AH102" s="3"/>
      <c r="AI102" s="3"/>
      <c r="AJ102" s="3"/>
      <c r="AK102" s="3"/>
      <c r="AL102" s="3"/>
      <c r="AM102" s="3"/>
      <c r="AN102" s="3"/>
      <c r="AO102" s="3"/>
    </row>
    <row r="103" spans="1:41" s="28" customFormat="1" x14ac:dyDescent="0.3">
      <c r="A103" s="41"/>
      <c r="B103" s="3"/>
      <c r="C103" s="12"/>
      <c r="D103" s="623"/>
      <c r="E103" s="623"/>
      <c r="F103" s="623"/>
      <c r="G103" s="25"/>
      <c r="H103" s="25"/>
      <c r="I103" s="40"/>
      <c r="J103" s="30"/>
      <c r="K103" s="25"/>
      <c r="L103" s="25"/>
      <c r="M103" s="3"/>
      <c r="N103" s="72"/>
      <c r="O103" s="72"/>
      <c r="P103" s="72"/>
      <c r="Q103" s="72"/>
      <c r="T103" s="30"/>
      <c r="U103" s="30"/>
      <c r="Z103" s="3"/>
      <c r="AA103" s="3"/>
      <c r="AB103" s="3"/>
      <c r="AC103" s="3"/>
      <c r="AD103" s="3"/>
      <c r="AE103" s="22"/>
      <c r="AF103" s="3"/>
      <c r="AG103" s="3"/>
      <c r="AH103" s="3"/>
      <c r="AI103" s="3"/>
      <c r="AJ103" s="3"/>
      <c r="AK103" s="3"/>
      <c r="AL103" s="3"/>
      <c r="AM103" s="3"/>
      <c r="AN103" s="3"/>
      <c r="AO103" s="3"/>
    </row>
    <row r="104" spans="1:41" s="28" customFormat="1" x14ac:dyDescent="0.3">
      <c r="A104" s="41"/>
      <c r="B104" s="3"/>
      <c r="C104" s="12"/>
      <c r="D104" s="623"/>
      <c r="E104" s="623"/>
      <c r="F104" s="623"/>
      <c r="G104" s="25"/>
      <c r="H104" s="25"/>
      <c r="I104" s="40"/>
      <c r="J104" s="30"/>
      <c r="K104" s="25"/>
      <c r="L104" s="25"/>
      <c r="M104" s="3"/>
      <c r="N104" s="72"/>
      <c r="O104" s="72"/>
      <c r="P104" s="72"/>
      <c r="Q104" s="72"/>
      <c r="T104" s="30"/>
      <c r="U104" s="30"/>
      <c r="Z104" s="3"/>
      <c r="AA104" s="3"/>
      <c r="AB104" s="3"/>
      <c r="AC104" s="3"/>
      <c r="AD104" s="3"/>
      <c r="AE104" s="22"/>
      <c r="AF104" s="3"/>
      <c r="AG104" s="3"/>
      <c r="AH104" s="3"/>
      <c r="AI104" s="3"/>
      <c r="AJ104" s="3"/>
      <c r="AK104" s="3"/>
      <c r="AL104" s="3"/>
      <c r="AM104" s="3"/>
      <c r="AN104" s="3"/>
      <c r="AO104" s="3"/>
    </row>
    <row r="105" spans="1:41" s="28" customFormat="1" x14ac:dyDescent="0.3">
      <c r="A105" s="41"/>
      <c r="B105" s="3"/>
      <c r="C105" s="12"/>
      <c r="D105" s="623"/>
      <c r="E105" s="623"/>
      <c r="F105" s="623"/>
      <c r="G105" s="25"/>
      <c r="H105" s="25"/>
      <c r="I105" s="40"/>
      <c r="J105" s="30"/>
      <c r="K105" s="25"/>
      <c r="L105" s="25"/>
      <c r="M105" s="3"/>
      <c r="N105" s="72"/>
      <c r="O105" s="72"/>
      <c r="P105" s="72"/>
      <c r="Q105" s="72"/>
      <c r="T105" s="30"/>
      <c r="U105" s="30"/>
      <c r="Z105" s="3"/>
      <c r="AA105" s="3"/>
      <c r="AB105" s="3"/>
      <c r="AC105" s="3"/>
      <c r="AD105" s="3"/>
      <c r="AE105" s="22"/>
      <c r="AF105" s="3"/>
      <c r="AG105" s="3"/>
      <c r="AH105" s="3"/>
      <c r="AI105" s="3"/>
      <c r="AJ105" s="3"/>
      <c r="AK105" s="3"/>
      <c r="AL105" s="3"/>
      <c r="AM105" s="3"/>
      <c r="AN105" s="3"/>
      <c r="AO105" s="3"/>
    </row>
    <row r="106" spans="1:41" s="28" customFormat="1" x14ac:dyDescent="0.3">
      <c r="A106" s="41"/>
      <c r="B106" s="3"/>
      <c r="C106" s="12"/>
      <c r="D106" s="623"/>
      <c r="E106" s="623"/>
      <c r="F106" s="623"/>
      <c r="G106" s="25"/>
      <c r="H106" s="25"/>
      <c r="I106" s="40"/>
      <c r="J106" s="30"/>
      <c r="K106" s="25"/>
      <c r="L106" s="25"/>
      <c r="M106" s="3"/>
      <c r="N106" s="72"/>
      <c r="O106" s="72"/>
      <c r="P106" s="72"/>
      <c r="Q106" s="72"/>
      <c r="T106" s="30"/>
      <c r="U106" s="30"/>
      <c r="Z106" s="3"/>
      <c r="AA106" s="3"/>
      <c r="AB106" s="3"/>
      <c r="AC106" s="3"/>
      <c r="AD106" s="3"/>
      <c r="AE106" s="22"/>
      <c r="AF106" s="3"/>
      <c r="AG106" s="3"/>
      <c r="AH106" s="3"/>
      <c r="AI106" s="3"/>
      <c r="AJ106" s="3"/>
      <c r="AK106" s="3"/>
      <c r="AL106" s="3"/>
      <c r="AM106" s="3"/>
      <c r="AN106" s="3"/>
      <c r="AO106" s="3"/>
    </row>
    <row r="107" spans="1:41" s="28" customFormat="1" x14ac:dyDescent="0.3">
      <c r="A107" s="41"/>
      <c r="B107" s="3"/>
      <c r="C107" s="12"/>
      <c r="D107" s="623"/>
      <c r="E107" s="623"/>
      <c r="F107" s="623"/>
      <c r="G107" s="25"/>
      <c r="H107" s="25"/>
      <c r="I107" s="40"/>
      <c r="J107" s="30"/>
      <c r="K107" s="25"/>
      <c r="L107" s="25"/>
      <c r="M107" s="3"/>
      <c r="N107" s="72"/>
      <c r="O107" s="72"/>
      <c r="P107" s="72"/>
      <c r="Q107" s="72"/>
      <c r="T107" s="30"/>
      <c r="U107" s="30"/>
      <c r="Z107" s="3"/>
      <c r="AA107" s="3"/>
      <c r="AB107" s="3"/>
      <c r="AC107" s="3"/>
      <c r="AD107" s="3"/>
      <c r="AE107" s="22"/>
      <c r="AF107" s="3"/>
      <c r="AG107" s="3"/>
      <c r="AH107" s="3"/>
      <c r="AI107" s="3"/>
      <c r="AJ107" s="3"/>
      <c r="AK107" s="3"/>
      <c r="AL107" s="3"/>
      <c r="AM107" s="3"/>
      <c r="AN107" s="3"/>
      <c r="AO107" s="3"/>
    </row>
    <row r="108" spans="1:41" s="28" customFormat="1" x14ac:dyDescent="0.3">
      <c r="A108" s="41"/>
      <c r="B108" s="3"/>
      <c r="C108" s="12"/>
      <c r="D108" s="623"/>
      <c r="E108" s="623"/>
      <c r="F108" s="623"/>
      <c r="G108" s="25"/>
      <c r="H108" s="25"/>
      <c r="I108" s="40"/>
      <c r="J108" s="30"/>
      <c r="K108" s="25"/>
      <c r="L108" s="25"/>
      <c r="M108" s="3"/>
      <c r="N108" s="72"/>
      <c r="O108" s="72"/>
      <c r="P108" s="72"/>
      <c r="Q108" s="72"/>
      <c r="T108" s="30"/>
      <c r="U108" s="30"/>
      <c r="Z108" s="3"/>
      <c r="AA108" s="3"/>
      <c r="AB108" s="3"/>
      <c r="AC108" s="3"/>
      <c r="AD108" s="3"/>
      <c r="AE108" s="22"/>
      <c r="AF108" s="3"/>
      <c r="AG108" s="3"/>
      <c r="AH108" s="3"/>
      <c r="AI108" s="3"/>
      <c r="AJ108" s="3"/>
      <c r="AK108" s="3"/>
      <c r="AL108" s="3"/>
      <c r="AM108" s="3"/>
      <c r="AN108" s="3"/>
      <c r="AO108" s="3"/>
    </row>
    <row r="109" spans="1:41" s="28" customFormat="1" x14ac:dyDescent="0.3">
      <c r="A109" s="41"/>
      <c r="B109" s="3"/>
      <c r="C109" s="12"/>
      <c r="D109" s="623"/>
      <c r="E109" s="623"/>
      <c r="F109" s="623"/>
      <c r="G109" s="25"/>
      <c r="H109" s="25"/>
      <c r="I109" s="40"/>
      <c r="J109" s="30"/>
      <c r="K109" s="25"/>
      <c r="L109" s="25"/>
      <c r="M109" s="3"/>
      <c r="N109" s="72"/>
      <c r="O109" s="72"/>
      <c r="P109" s="72"/>
      <c r="Q109" s="72"/>
      <c r="T109" s="30"/>
      <c r="U109" s="30"/>
      <c r="Z109" s="3"/>
      <c r="AA109" s="3"/>
      <c r="AB109" s="3"/>
      <c r="AC109" s="3"/>
      <c r="AD109" s="3"/>
      <c r="AE109" s="22"/>
      <c r="AF109" s="3"/>
      <c r="AG109" s="3"/>
      <c r="AH109" s="3"/>
      <c r="AI109" s="3"/>
      <c r="AJ109" s="3"/>
      <c r="AK109" s="3"/>
      <c r="AL109" s="3"/>
      <c r="AM109" s="3"/>
      <c r="AN109" s="3"/>
      <c r="AO109" s="3"/>
    </row>
    <row r="110" spans="1:41" s="28" customFormat="1" x14ac:dyDescent="0.3">
      <c r="A110" s="41"/>
      <c r="B110" s="3"/>
      <c r="C110" s="12"/>
      <c r="D110" s="623"/>
      <c r="E110" s="623"/>
      <c r="F110" s="623"/>
      <c r="G110" s="25"/>
      <c r="H110" s="25"/>
      <c r="I110" s="40"/>
      <c r="J110" s="30"/>
      <c r="K110" s="25"/>
      <c r="L110" s="25"/>
      <c r="M110" s="3"/>
      <c r="N110" s="72"/>
      <c r="O110" s="72"/>
      <c r="P110" s="72"/>
      <c r="Q110" s="72"/>
      <c r="T110" s="30"/>
      <c r="U110" s="30"/>
      <c r="Z110" s="3"/>
      <c r="AA110" s="3"/>
      <c r="AB110" s="3"/>
      <c r="AC110" s="3"/>
      <c r="AD110" s="3"/>
      <c r="AE110" s="22"/>
      <c r="AF110" s="3"/>
      <c r="AG110" s="3"/>
      <c r="AH110" s="3"/>
      <c r="AI110" s="3"/>
      <c r="AJ110" s="3"/>
      <c r="AK110" s="3"/>
      <c r="AL110" s="3"/>
      <c r="AM110" s="3"/>
      <c r="AN110" s="3"/>
      <c r="AO110" s="3"/>
    </row>
    <row r="111" spans="1:41" s="28" customFormat="1" x14ac:dyDescent="0.3">
      <c r="A111" s="41"/>
      <c r="B111" s="3"/>
      <c r="C111" s="12"/>
      <c r="D111" s="623"/>
      <c r="E111" s="623"/>
      <c r="F111" s="623"/>
      <c r="G111" s="25"/>
      <c r="H111" s="25"/>
      <c r="I111" s="40"/>
      <c r="J111" s="30"/>
      <c r="K111" s="25"/>
      <c r="L111" s="25"/>
      <c r="M111" s="3"/>
      <c r="N111" s="72"/>
      <c r="O111" s="72"/>
      <c r="P111" s="72"/>
      <c r="Q111" s="72"/>
      <c r="T111" s="30"/>
      <c r="U111" s="30"/>
      <c r="Z111" s="3"/>
      <c r="AA111" s="3"/>
      <c r="AB111" s="3"/>
      <c r="AC111" s="3"/>
      <c r="AD111" s="3"/>
      <c r="AE111" s="22"/>
      <c r="AF111" s="3"/>
      <c r="AG111" s="3"/>
      <c r="AH111" s="3"/>
      <c r="AI111" s="3"/>
      <c r="AJ111" s="3"/>
      <c r="AK111" s="3"/>
      <c r="AL111" s="3"/>
      <c r="AM111" s="3"/>
      <c r="AN111" s="3"/>
      <c r="AO111" s="3"/>
    </row>
    <row r="112" spans="1:41" s="28" customFormat="1" x14ac:dyDescent="0.3">
      <c r="A112" s="41"/>
      <c r="B112" s="3"/>
      <c r="C112" s="12"/>
      <c r="D112" s="623"/>
      <c r="E112" s="623"/>
      <c r="F112" s="623"/>
      <c r="G112" s="25"/>
      <c r="H112" s="25"/>
      <c r="I112" s="40"/>
      <c r="J112" s="30"/>
      <c r="K112" s="25"/>
      <c r="L112" s="25"/>
      <c r="M112" s="3"/>
      <c r="N112" s="72"/>
      <c r="O112" s="72"/>
      <c r="P112" s="72"/>
      <c r="Q112" s="72"/>
      <c r="T112" s="30"/>
      <c r="U112" s="30"/>
      <c r="Z112" s="3"/>
      <c r="AA112" s="3"/>
      <c r="AB112" s="3"/>
      <c r="AC112" s="3"/>
      <c r="AD112" s="3"/>
      <c r="AE112" s="22"/>
      <c r="AF112" s="3"/>
      <c r="AG112" s="3"/>
      <c r="AH112" s="3"/>
      <c r="AI112" s="3"/>
      <c r="AJ112" s="3"/>
      <c r="AK112" s="3"/>
      <c r="AL112" s="3"/>
      <c r="AM112" s="3"/>
      <c r="AN112" s="3"/>
      <c r="AO112" s="3"/>
    </row>
    <row r="113" spans="1:41" s="28" customFormat="1" x14ac:dyDescent="0.3">
      <c r="A113" s="41"/>
      <c r="B113" s="3"/>
      <c r="C113" s="12"/>
      <c r="D113" s="623"/>
      <c r="E113" s="623"/>
      <c r="F113" s="623"/>
      <c r="G113" s="25"/>
      <c r="H113" s="25"/>
      <c r="I113" s="40"/>
      <c r="J113" s="30"/>
      <c r="K113" s="25"/>
      <c r="L113" s="25"/>
      <c r="M113" s="3"/>
      <c r="N113" s="72"/>
      <c r="O113" s="72"/>
      <c r="P113" s="72"/>
      <c r="Q113" s="72"/>
      <c r="T113" s="30"/>
      <c r="U113" s="30"/>
      <c r="Z113" s="3"/>
      <c r="AA113" s="3"/>
      <c r="AB113" s="3"/>
      <c r="AC113" s="3"/>
      <c r="AD113" s="3"/>
      <c r="AE113" s="22"/>
      <c r="AF113" s="3"/>
      <c r="AG113" s="3"/>
      <c r="AH113" s="3"/>
      <c r="AI113" s="3"/>
      <c r="AJ113" s="3"/>
      <c r="AK113" s="3"/>
      <c r="AL113" s="3"/>
      <c r="AM113" s="3"/>
      <c r="AN113" s="3"/>
      <c r="AO113" s="3"/>
    </row>
    <row r="114" spans="1:41" s="28" customFormat="1" x14ac:dyDescent="0.3">
      <c r="A114" s="41"/>
      <c r="B114" s="3"/>
      <c r="C114" s="12"/>
      <c r="D114" s="623"/>
      <c r="E114" s="623"/>
      <c r="F114" s="623"/>
      <c r="G114" s="25"/>
      <c r="H114" s="25"/>
      <c r="I114" s="40"/>
      <c r="J114" s="30"/>
      <c r="K114" s="25"/>
      <c r="L114" s="25"/>
      <c r="M114" s="3"/>
      <c r="N114" s="72"/>
      <c r="O114" s="72"/>
      <c r="P114" s="72"/>
      <c r="Q114" s="72"/>
      <c r="T114" s="30"/>
      <c r="U114" s="30"/>
      <c r="Z114" s="3"/>
      <c r="AA114" s="3"/>
      <c r="AB114" s="3"/>
      <c r="AC114" s="3"/>
      <c r="AD114" s="3"/>
      <c r="AE114" s="22"/>
      <c r="AF114" s="3"/>
      <c r="AG114" s="3"/>
      <c r="AH114" s="3"/>
      <c r="AI114" s="3"/>
      <c r="AJ114" s="3"/>
      <c r="AK114" s="3"/>
      <c r="AL114" s="3"/>
      <c r="AM114" s="3"/>
      <c r="AN114" s="3"/>
      <c r="AO114" s="3"/>
    </row>
    <row r="115" spans="1:41" s="28" customFormat="1" x14ac:dyDescent="0.3">
      <c r="A115" s="41"/>
      <c r="B115" s="3"/>
      <c r="C115" s="12"/>
      <c r="D115" s="623"/>
      <c r="E115" s="623"/>
      <c r="F115" s="623"/>
      <c r="G115" s="25"/>
      <c r="H115" s="25"/>
      <c r="I115" s="40"/>
      <c r="J115" s="26"/>
      <c r="K115" s="25"/>
      <c r="L115" s="25"/>
      <c r="M115" s="3"/>
      <c r="N115" s="72"/>
      <c r="O115" s="72"/>
      <c r="P115" s="72"/>
      <c r="Q115" s="72"/>
      <c r="Z115" s="3"/>
      <c r="AA115" s="3"/>
      <c r="AB115" s="3"/>
      <c r="AC115" s="3"/>
      <c r="AD115" s="3"/>
      <c r="AE115" s="22"/>
      <c r="AF115" s="3"/>
      <c r="AG115" s="3"/>
      <c r="AH115" s="3"/>
      <c r="AI115" s="3"/>
      <c r="AJ115" s="3"/>
      <c r="AK115" s="3"/>
      <c r="AL115" s="3"/>
      <c r="AM115" s="3"/>
      <c r="AN115" s="3"/>
      <c r="AO115" s="3"/>
    </row>
    <row r="116" spans="1:41" s="28" customFormat="1" x14ac:dyDescent="0.3">
      <c r="A116" s="41"/>
      <c r="B116" s="3"/>
      <c r="C116" s="12"/>
      <c r="D116" s="623"/>
      <c r="E116" s="623"/>
      <c r="F116" s="623"/>
      <c r="G116" s="25"/>
      <c r="H116" s="25"/>
      <c r="I116" s="40"/>
      <c r="J116" s="26"/>
      <c r="K116" s="25"/>
      <c r="L116" s="25"/>
      <c r="M116" s="3"/>
      <c r="N116" s="72"/>
      <c r="O116" s="72"/>
      <c r="P116" s="72"/>
      <c r="Q116" s="72"/>
      <c r="Z116" s="3"/>
      <c r="AA116" s="3"/>
      <c r="AB116" s="3"/>
      <c r="AC116" s="3"/>
      <c r="AD116" s="3"/>
      <c r="AE116" s="22"/>
      <c r="AF116" s="3"/>
      <c r="AG116" s="3"/>
      <c r="AH116" s="3"/>
      <c r="AI116" s="3"/>
      <c r="AJ116" s="3"/>
      <c r="AK116" s="3"/>
      <c r="AL116" s="3"/>
      <c r="AM116" s="3"/>
      <c r="AN116" s="3"/>
      <c r="AO116" s="3"/>
    </row>
    <row r="117" spans="1:41" s="28" customFormat="1" x14ac:dyDescent="0.3">
      <c r="A117" s="41"/>
      <c r="B117" s="3"/>
      <c r="C117" s="12"/>
      <c r="D117" s="623"/>
      <c r="E117" s="623"/>
      <c r="F117" s="623"/>
      <c r="G117" s="25"/>
      <c r="H117" s="25"/>
      <c r="I117" s="40"/>
      <c r="J117" s="26"/>
      <c r="K117" s="25"/>
      <c r="L117" s="25"/>
      <c r="M117" s="3"/>
      <c r="N117" s="72"/>
      <c r="O117" s="72"/>
      <c r="P117" s="72"/>
      <c r="Q117" s="72"/>
      <c r="Z117" s="3"/>
      <c r="AA117" s="3"/>
      <c r="AB117" s="3"/>
      <c r="AC117" s="3"/>
      <c r="AD117" s="3"/>
      <c r="AE117" s="22"/>
      <c r="AF117" s="3"/>
      <c r="AG117" s="3"/>
      <c r="AH117" s="3"/>
      <c r="AI117" s="3"/>
      <c r="AJ117" s="3"/>
      <c r="AK117" s="3"/>
      <c r="AL117" s="3"/>
      <c r="AM117" s="3"/>
      <c r="AN117" s="3"/>
      <c r="AO117" s="3"/>
    </row>
    <row r="118" spans="1:41" x14ac:dyDescent="0.3">
      <c r="D118" s="623"/>
      <c r="E118" s="623"/>
      <c r="F118" s="623"/>
    </row>
    <row r="119" spans="1:41" x14ac:dyDescent="0.3">
      <c r="D119" s="623"/>
      <c r="E119" s="623"/>
      <c r="F119" s="623"/>
    </row>
    <row r="120" spans="1:41" x14ac:dyDescent="0.3">
      <c r="D120" s="623"/>
      <c r="E120" s="623"/>
      <c r="F120" s="623"/>
    </row>
    <row r="121" spans="1:41" x14ac:dyDescent="0.3">
      <c r="D121" s="623"/>
      <c r="E121" s="623"/>
      <c r="F121" s="623"/>
    </row>
    <row r="122" spans="1:41" x14ac:dyDescent="0.3">
      <c r="D122" s="623"/>
      <c r="E122" s="623"/>
      <c r="F122" s="623"/>
    </row>
    <row r="123" spans="1:41" x14ac:dyDescent="0.3">
      <c r="D123" s="623"/>
      <c r="E123" s="623"/>
      <c r="F123" s="623"/>
    </row>
    <row r="124" spans="1:41" x14ac:dyDescent="0.3">
      <c r="D124" s="623"/>
      <c r="E124" s="623"/>
      <c r="F124" s="623"/>
    </row>
    <row r="125" spans="1:41" x14ac:dyDescent="0.3">
      <c r="D125" s="623"/>
      <c r="E125" s="623"/>
      <c r="F125" s="623"/>
    </row>
    <row r="126" spans="1:41" x14ac:dyDescent="0.3">
      <c r="D126" s="623"/>
      <c r="E126" s="623"/>
      <c r="F126" s="623"/>
    </row>
    <row r="127" spans="1:41" s="25" customFormat="1" x14ac:dyDescent="0.3">
      <c r="A127" s="41"/>
      <c r="B127" s="3"/>
      <c r="C127" s="12"/>
      <c r="D127" s="623"/>
      <c r="E127" s="623"/>
      <c r="F127" s="623"/>
      <c r="I127" s="40"/>
      <c r="J127" s="26"/>
      <c r="M127" s="3"/>
      <c r="N127" s="72"/>
      <c r="O127" s="72"/>
      <c r="P127" s="72"/>
      <c r="Q127" s="72"/>
      <c r="R127" s="28"/>
      <c r="S127" s="28"/>
      <c r="T127" s="28"/>
      <c r="U127" s="28"/>
      <c r="V127" s="28"/>
      <c r="W127" s="28"/>
      <c r="X127" s="28"/>
      <c r="Y127" s="28"/>
      <c r="Z127" s="3"/>
      <c r="AA127" s="3"/>
      <c r="AB127" s="3"/>
      <c r="AC127" s="3"/>
      <c r="AD127" s="3"/>
      <c r="AE127" s="22"/>
      <c r="AF127" s="3"/>
      <c r="AG127" s="3"/>
      <c r="AH127" s="3"/>
      <c r="AI127" s="3"/>
      <c r="AJ127" s="3"/>
      <c r="AK127" s="3"/>
      <c r="AL127" s="3"/>
      <c r="AM127" s="3"/>
      <c r="AN127" s="3"/>
      <c r="AO127" s="3"/>
    </row>
    <row r="128" spans="1:41" s="25" customFormat="1" x14ac:dyDescent="0.3">
      <c r="A128" s="41"/>
      <c r="B128" s="3"/>
      <c r="C128" s="12"/>
      <c r="D128" s="623"/>
      <c r="E128" s="623"/>
      <c r="F128" s="623"/>
      <c r="I128" s="40"/>
      <c r="J128" s="26"/>
      <c r="M128" s="3"/>
      <c r="N128" s="72"/>
      <c r="O128" s="72"/>
      <c r="P128" s="72"/>
      <c r="Q128" s="72"/>
      <c r="R128" s="28"/>
      <c r="S128" s="28"/>
      <c r="T128" s="28"/>
      <c r="U128" s="28"/>
      <c r="V128" s="28"/>
      <c r="W128" s="28"/>
      <c r="X128" s="28"/>
      <c r="Y128" s="28"/>
      <c r="Z128" s="3"/>
      <c r="AA128" s="3"/>
      <c r="AB128" s="3"/>
      <c r="AC128" s="3"/>
      <c r="AD128" s="3"/>
      <c r="AE128" s="22"/>
      <c r="AF128" s="3"/>
      <c r="AG128" s="3"/>
      <c r="AH128" s="3"/>
      <c r="AI128" s="3"/>
      <c r="AJ128" s="3"/>
      <c r="AK128" s="3"/>
      <c r="AL128" s="3"/>
      <c r="AM128" s="3"/>
      <c r="AN128" s="3"/>
      <c r="AO128" s="3"/>
    </row>
    <row r="129" spans="1:41" s="25" customFormat="1" x14ac:dyDescent="0.3">
      <c r="A129" s="41"/>
      <c r="B129" s="3"/>
      <c r="C129" s="12"/>
      <c r="D129" s="623"/>
      <c r="E129" s="623"/>
      <c r="F129" s="623"/>
      <c r="I129" s="40"/>
      <c r="J129" s="26"/>
      <c r="M129" s="3"/>
      <c r="N129" s="72"/>
      <c r="O129" s="72"/>
      <c r="P129" s="72"/>
      <c r="Q129" s="72"/>
      <c r="R129" s="28"/>
      <c r="S129" s="28"/>
      <c r="T129" s="28"/>
      <c r="U129" s="28"/>
      <c r="V129" s="28"/>
      <c r="W129" s="28"/>
      <c r="X129" s="28"/>
      <c r="Y129" s="28"/>
      <c r="Z129" s="3"/>
      <c r="AA129" s="3"/>
      <c r="AB129" s="3"/>
      <c r="AC129" s="3"/>
      <c r="AD129" s="3"/>
      <c r="AE129" s="22"/>
      <c r="AF129" s="3"/>
      <c r="AG129" s="3"/>
      <c r="AH129" s="3"/>
      <c r="AI129" s="3"/>
      <c r="AJ129" s="3"/>
      <c r="AK129" s="3"/>
      <c r="AL129" s="3"/>
      <c r="AM129" s="3"/>
      <c r="AN129" s="3"/>
      <c r="AO129" s="3"/>
    </row>
    <row r="130" spans="1:41" s="25" customFormat="1" x14ac:dyDescent="0.3">
      <c r="A130" s="41"/>
      <c r="B130" s="3"/>
      <c r="C130" s="12"/>
      <c r="D130" s="623"/>
      <c r="E130" s="623"/>
      <c r="F130" s="623"/>
      <c r="I130" s="40"/>
      <c r="J130" s="26"/>
      <c r="M130" s="3"/>
      <c r="N130" s="72"/>
      <c r="O130" s="72"/>
      <c r="P130" s="72"/>
      <c r="Q130" s="72"/>
      <c r="R130" s="28"/>
      <c r="S130" s="28"/>
      <c r="T130" s="28"/>
      <c r="U130" s="28"/>
      <c r="V130" s="28"/>
      <c r="W130" s="28"/>
      <c r="X130" s="28"/>
      <c r="Y130" s="28"/>
      <c r="Z130" s="3"/>
      <c r="AA130" s="3"/>
      <c r="AB130" s="3"/>
      <c r="AC130" s="3"/>
      <c r="AD130" s="3"/>
      <c r="AE130" s="22"/>
      <c r="AF130" s="3"/>
      <c r="AG130" s="3"/>
      <c r="AH130" s="3"/>
      <c r="AI130" s="3"/>
      <c r="AJ130" s="3"/>
      <c r="AK130" s="3"/>
      <c r="AL130" s="3"/>
      <c r="AM130" s="3"/>
      <c r="AN130" s="3"/>
      <c r="AO130" s="3"/>
    </row>
    <row r="131" spans="1:41" s="25" customFormat="1" x14ac:dyDescent="0.3">
      <c r="A131" s="41"/>
      <c r="B131" s="3"/>
      <c r="C131" s="12"/>
      <c r="D131" s="623"/>
      <c r="E131" s="623"/>
      <c r="F131" s="623"/>
      <c r="I131" s="40"/>
      <c r="J131" s="26"/>
      <c r="M131" s="3"/>
      <c r="N131" s="72"/>
      <c r="O131" s="72"/>
      <c r="P131" s="72"/>
      <c r="Q131" s="72"/>
      <c r="R131" s="28"/>
      <c r="S131" s="28"/>
      <c r="T131" s="28"/>
      <c r="U131" s="28"/>
      <c r="V131" s="28"/>
      <c r="W131" s="28"/>
      <c r="X131" s="28"/>
      <c r="Y131" s="28"/>
      <c r="Z131" s="3"/>
      <c r="AA131" s="3"/>
      <c r="AB131" s="3"/>
      <c r="AC131" s="3"/>
      <c r="AD131" s="3"/>
      <c r="AE131" s="22"/>
      <c r="AF131" s="3"/>
      <c r="AG131" s="3"/>
      <c r="AH131" s="3"/>
      <c r="AI131" s="3"/>
      <c r="AJ131" s="3"/>
      <c r="AK131" s="3"/>
      <c r="AL131" s="3"/>
      <c r="AM131" s="3"/>
      <c r="AN131" s="3"/>
      <c r="AO131" s="3"/>
    </row>
    <row r="132" spans="1:41" s="25" customFormat="1" x14ac:dyDescent="0.3">
      <c r="A132" s="41"/>
      <c r="B132" s="3"/>
      <c r="C132" s="12"/>
      <c r="D132" s="623"/>
      <c r="E132" s="623"/>
      <c r="F132" s="623"/>
      <c r="I132" s="40"/>
      <c r="J132" s="26"/>
      <c r="M132" s="3"/>
      <c r="N132" s="72"/>
      <c r="O132" s="72"/>
      <c r="P132" s="72"/>
      <c r="Q132" s="72"/>
      <c r="R132" s="28"/>
      <c r="S132" s="28"/>
      <c r="T132" s="28"/>
      <c r="U132" s="28"/>
      <c r="V132" s="28"/>
      <c r="W132" s="28"/>
      <c r="X132" s="28"/>
      <c r="Y132" s="28"/>
      <c r="Z132" s="3"/>
      <c r="AA132" s="3"/>
      <c r="AB132" s="3"/>
      <c r="AC132" s="3"/>
      <c r="AD132" s="3"/>
      <c r="AE132" s="22"/>
      <c r="AF132" s="3"/>
      <c r="AG132" s="3"/>
      <c r="AH132" s="3"/>
      <c r="AI132" s="3"/>
      <c r="AJ132" s="3"/>
      <c r="AK132" s="3"/>
      <c r="AL132" s="3"/>
      <c r="AM132" s="3"/>
      <c r="AN132" s="3"/>
      <c r="AO132" s="3"/>
    </row>
    <row r="133" spans="1:41" s="25" customFormat="1" x14ac:dyDescent="0.3">
      <c r="A133" s="41"/>
      <c r="B133" s="3"/>
      <c r="C133" s="12"/>
      <c r="D133" s="623"/>
      <c r="E133" s="623"/>
      <c r="F133" s="623"/>
      <c r="I133" s="40"/>
      <c r="J133" s="26"/>
      <c r="M133" s="3"/>
      <c r="N133" s="72"/>
      <c r="O133" s="72"/>
      <c r="P133" s="72"/>
      <c r="Q133" s="72"/>
      <c r="R133" s="28"/>
      <c r="S133" s="28"/>
      <c r="T133" s="28"/>
      <c r="U133" s="28"/>
      <c r="V133" s="28"/>
      <c r="W133" s="28"/>
      <c r="X133" s="28"/>
      <c r="Y133" s="28"/>
      <c r="Z133" s="3"/>
      <c r="AA133" s="3"/>
      <c r="AB133" s="3"/>
      <c r="AC133" s="3"/>
      <c r="AD133" s="3"/>
      <c r="AE133" s="22"/>
      <c r="AF133" s="3"/>
      <c r="AG133" s="3"/>
      <c r="AH133" s="3"/>
      <c r="AI133" s="3"/>
      <c r="AJ133" s="3"/>
      <c r="AK133" s="3"/>
      <c r="AL133" s="3"/>
      <c r="AM133" s="3"/>
      <c r="AN133" s="3"/>
      <c r="AO133" s="3"/>
    </row>
    <row r="134" spans="1:41" s="25" customFormat="1" x14ac:dyDescent="0.3">
      <c r="A134" s="41"/>
      <c r="B134" s="3"/>
      <c r="C134" s="12"/>
      <c r="D134" s="623"/>
      <c r="E134" s="623"/>
      <c r="F134" s="623"/>
      <c r="I134" s="40"/>
      <c r="J134" s="26"/>
      <c r="M134" s="3"/>
      <c r="N134" s="72"/>
      <c r="O134" s="72"/>
      <c r="P134" s="72"/>
      <c r="Q134" s="72"/>
      <c r="R134" s="28"/>
      <c r="S134" s="28"/>
      <c r="T134" s="28"/>
      <c r="U134" s="28"/>
      <c r="V134" s="28"/>
      <c r="W134" s="28"/>
      <c r="X134" s="28"/>
      <c r="Y134" s="28"/>
      <c r="Z134" s="3"/>
      <c r="AA134" s="3"/>
      <c r="AB134" s="3"/>
      <c r="AC134" s="3"/>
      <c r="AD134" s="3"/>
      <c r="AE134" s="22"/>
      <c r="AF134" s="3"/>
      <c r="AG134" s="3"/>
      <c r="AH134" s="3"/>
      <c r="AI134" s="3"/>
      <c r="AJ134" s="3"/>
      <c r="AK134" s="3"/>
      <c r="AL134" s="3"/>
      <c r="AM134" s="3"/>
      <c r="AN134" s="3"/>
      <c r="AO134" s="3"/>
    </row>
    <row r="135" spans="1:41" s="25" customFormat="1" x14ac:dyDescent="0.3">
      <c r="A135" s="41"/>
      <c r="B135" s="3"/>
      <c r="C135" s="12"/>
      <c r="D135" s="623"/>
      <c r="E135" s="623"/>
      <c r="F135" s="623"/>
      <c r="I135" s="40"/>
      <c r="J135" s="26"/>
      <c r="M135" s="3"/>
      <c r="N135" s="72"/>
      <c r="O135" s="72"/>
      <c r="P135" s="72"/>
      <c r="Q135" s="72"/>
      <c r="R135" s="28"/>
      <c r="S135" s="28"/>
      <c r="T135" s="28"/>
      <c r="U135" s="28"/>
      <c r="V135" s="28"/>
      <c r="W135" s="28"/>
      <c r="X135" s="28"/>
      <c r="Y135" s="28"/>
      <c r="Z135" s="3"/>
      <c r="AA135" s="3"/>
      <c r="AB135" s="3"/>
      <c r="AC135" s="3"/>
      <c r="AD135" s="3"/>
      <c r="AE135" s="22"/>
      <c r="AF135" s="3"/>
      <c r="AG135" s="3"/>
      <c r="AH135" s="3"/>
      <c r="AI135" s="3"/>
      <c r="AJ135" s="3"/>
      <c r="AK135" s="3"/>
      <c r="AL135" s="3"/>
      <c r="AM135" s="3"/>
      <c r="AN135" s="3"/>
      <c r="AO135" s="3"/>
    </row>
    <row r="136" spans="1:41" s="25" customFormat="1" x14ac:dyDescent="0.3">
      <c r="A136" s="41"/>
      <c r="B136" s="3"/>
      <c r="C136" s="12"/>
      <c r="D136" s="623"/>
      <c r="E136" s="623"/>
      <c r="F136" s="623"/>
      <c r="I136" s="40"/>
      <c r="J136" s="26"/>
      <c r="M136" s="3"/>
      <c r="N136" s="72"/>
      <c r="O136" s="72"/>
      <c r="P136" s="72"/>
      <c r="Q136" s="72"/>
      <c r="R136" s="28"/>
      <c r="S136" s="28"/>
      <c r="T136" s="28"/>
      <c r="U136" s="28"/>
      <c r="V136" s="28"/>
      <c r="W136" s="28"/>
      <c r="X136" s="28"/>
      <c r="Y136" s="28"/>
      <c r="Z136" s="3"/>
      <c r="AA136" s="3"/>
      <c r="AB136" s="3"/>
      <c r="AC136" s="3"/>
      <c r="AD136" s="3"/>
      <c r="AE136" s="22"/>
      <c r="AF136" s="3"/>
      <c r="AG136" s="3"/>
      <c r="AH136" s="3"/>
      <c r="AI136" s="3"/>
      <c r="AJ136" s="3"/>
      <c r="AK136" s="3"/>
      <c r="AL136" s="3"/>
      <c r="AM136" s="3"/>
      <c r="AN136" s="3"/>
      <c r="AO136" s="3"/>
    </row>
    <row r="137" spans="1:41" s="25" customFormat="1" x14ac:dyDescent="0.3">
      <c r="A137" s="41"/>
      <c r="B137" s="3"/>
      <c r="C137" s="12"/>
      <c r="D137" s="623"/>
      <c r="E137" s="623"/>
      <c r="F137" s="623"/>
      <c r="I137" s="40"/>
      <c r="J137" s="26"/>
      <c r="M137" s="3"/>
      <c r="N137" s="72"/>
      <c r="O137" s="72"/>
      <c r="P137" s="72"/>
      <c r="Q137" s="72"/>
      <c r="R137" s="28"/>
      <c r="S137" s="28"/>
      <c r="T137" s="28"/>
      <c r="U137" s="28"/>
      <c r="V137" s="28"/>
      <c r="W137" s="28"/>
      <c r="X137" s="28"/>
      <c r="Y137" s="28"/>
      <c r="Z137" s="3"/>
      <c r="AA137" s="3"/>
      <c r="AB137" s="3"/>
      <c r="AC137" s="3"/>
      <c r="AD137" s="3"/>
      <c r="AE137" s="22"/>
      <c r="AF137" s="3"/>
      <c r="AG137" s="3"/>
      <c r="AH137" s="3"/>
      <c r="AI137" s="3"/>
      <c r="AJ137" s="3"/>
      <c r="AK137" s="3"/>
      <c r="AL137" s="3"/>
      <c r="AM137" s="3"/>
      <c r="AN137" s="3"/>
      <c r="AO137" s="3"/>
    </row>
    <row r="138" spans="1:41" s="25" customFormat="1" x14ac:dyDescent="0.3">
      <c r="A138" s="41"/>
      <c r="B138" s="3"/>
      <c r="C138" s="12"/>
      <c r="D138" s="623"/>
      <c r="E138" s="623"/>
      <c r="F138" s="623"/>
      <c r="I138" s="40"/>
      <c r="J138" s="26"/>
      <c r="M138" s="3"/>
      <c r="N138" s="72"/>
      <c r="O138" s="72"/>
      <c r="P138" s="72"/>
      <c r="Q138" s="72"/>
      <c r="R138" s="28"/>
      <c r="S138" s="28"/>
      <c r="T138" s="28"/>
      <c r="U138" s="28"/>
      <c r="V138" s="28"/>
      <c r="W138" s="28"/>
      <c r="X138" s="28"/>
      <c r="Y138" s="28"/>
      <c r="Z138" s="3"/>
      <c r="AA138" s="3"/>
      <c r="AB138" s="3"/>
      <c r="AC138" s="3"/>
      <c r="AD138" s="3"/>
      <c r="AE138" s="22"/>
      <c r="AF138" s="3"/>
      <c r="AG138" s="3"/>
      <c r="AH138" s="3"/>
      <c r="AI138" s="3"/>
      <c r="AJ138" s="3"/>
      <c r="AK138" s="3"/>
      <c r="AL138" s="3"/>
      <c r="AM138" s="3"/>
      <c r="AN138" s="3"/>
      <c r="AO138" s="3"/>
    </row>
    <row r="139" spans="1:41" s="25" customFormat="1" x14ac:dyDescent="0.3">
      <c r="A139" s="41"/>
      <c r="B139" s="3"/>
      <c r="C139" s="12"/>
      <c r="D139" s="623"/>
      <c r="E139" s="623"/>
      <c r="F139" s="623"/>
      <c r="I139" s="40"/>
      <c r="J139" s="26"/>
      <c r="M139" s="3"/>
      <c r="N139" s="72"/>
      <c r="O139" s="72"/>
      <c r="P139" s="72"/>
      <c r="Q139" s="72"/>
      <c r="R139" s="28"/>
      <c r="S139" s="28"/>
      <c r="T139" s="28"/>
      <c r="U139" s="28"/>
      <c r="V139" s="28"/>
      <c r="W139" s="28"/>
      <c r="X139" s="28"/>
      <c r="Y139" s="28"/>
      <c r="Z139" s="3"/>
      <c r="AA139" s="3"/>
      <c r="AB139" s="3"/>
      <c r="AC139" s="3"/>
      <c r="AD139" s="3"/>
      <c r="AE139" s="22"/>
      <c r="AF139" s="3"/>
      <c r="AG139" s="3"/>
      <c r="AH139" s="3"/>
      <c r="AI139" s="3"/>
      <c r="AJ139" s="3"/>
      <c r="AK139" s="3"/>
      <c r="AL139" s="3"/>
      <c r="AM139" s="3"/>
      <c r="AN139" s="3"/>
      <c r="AO139" s="3"/>
    </row>
    <row r="140" spans="1:41" s="25" customFormat="1" x14ac:dyDescent="0.3">
      <c r="A140" s="41"/>
      <c r="B140" s="3"/>
      <c r="C140" s="12"/>
      <c r="D140" s="623"/>
      <c r="E140" s="623"/>
      <c r="F140" s="623"/>
      <c r="I140" s="40"/>
      <c r="J140" s="26"/>
      <c r="M140" s="3"/>
      <c r="N140" s="72"/>
      <c r="O140" s="72"/>
      <c r="P140" s="72"/>
      <c r="Q140" s="72"/>
      <c r="R140" s="28"/>
      <c r="S140" s="28"/>
      <c r="T140" s="28"/>
      <c r="U140" s="28"/>
      <c r="V140" s="28"/>
      <c r="W140" s="28"/>
      <c r="X140" s="28"/>
      <c r="Y140" s="28"/>
      <c r="Z140" s="3"/>
      <c r="AA140" s="3"/>
      <c r="AB140" s="3"/>
      <c r="AC140" s="3"/>
      <c r="AD140" s="3"/>
      <c r="AE140" s="22"/>
      <c r="AF140" s="3"/>
      <c r="AG140" s="3"/>
      <c r="AH140" s="3"/>
      <c r="AI140" s="3"/>
      <c r="AJ140" s="3"/>
      <c r="AK140" s="3"/>
      <c r="AL140" s="3"/>
      <c r="AM140" s="3"/>
      <c r="AN140" s="3"/>
      <c r="AO140" s="3"/>
    </row>
    <row r="141" spans="1:41" s="25" customFormat="1" x14ac:dyDescent="0.3">
      <c r="A141" s="41"/>
      <c r="B141" s="3"/>
      <c r="C141" s="12"/>
      <c r="D141" s="623"/>
      <c r="E141" s="623"/>
      <c r="F141" s="623"/>
      <c r="I141" s="40"/>
      <c r="J141" s="26"/>
      <c r="M141" s="3"/>
      <c r="N141" s="72"/>
      <c r="O141" s="72"/>
      <c r="P141" s="72"/>
      <c r="Q141" s="72"/>
      <c r="R141" s="28"/>
      <c r="S141" s="28"/>
      <c r="T141" s="28"/>
      <c r="U141" s="28"/>
      <c r="V141" s="28"/>
      <c r="W141" s="28"/>
      <c r="X141" s="28"/>
      <c r="Y141" s="28"/>
      <c r="Z141" s="3"/>
      <c r="AA141" s="3"/>
      <c r="AB141" s="3"/>
      <c r="AC141" s="3"/>
      <c r="AD141" s="3"/>
      <c r="AE141" s="22"/>
      <c r="AF141" s="3"/>
      <c r="AG141" s="3"/>
      <c r="AH141" s="3"/>
      <c r="AI141" s="3"/>
      <c r="AJ141" s="3"/>
      <c r="AK141" s="3"/>
      <c r="AL141" s="3"/>
      <c r="AM141" s="3"/>
      <c r="AN141" s="3"/>
      <c r="AO141" s="3"/>
    </row>
    <row r="142" spans="1:41" s="25" customFormat="1" x14ac:dyDescent="0.3">
      <c r="A142" s="41"/>
      <c r="B142" s="3"/>
      <c r="C142" s="12"/>
      <c r="D142" s="623"/>
      <c r="E142" s="623"/>
      <c r="F142" s="623"/>
      <c r="I142" s="40"/>
      <c r="J142" s="26"/>
      <c r="M142" s="3"/>
      <c r="N142" s="72"/>
      <c r="O142" s="72"/>
      <c r="P142" s="72"/>
      <c r="Q142" s="72"/>
      <c r="R142" s="28"/>
      <c r="S142" s="28"/>
      <c r="T142" s="28"/>
      <c r="U142" s="28"/>
      <c r="V142" s="28"/>
      <c r="W142" s="28"/>
      <c r="X142" s="28"/>
      <c r="Y142" s="28"/>
      <c r="Z142" s="3"/>
      <c r="AA142" s="3"/>
      <c r="AB142" s="3"/>
      <c r="AC142" s="3"/>
      <c r="AD142" s="3"/>
      <c r="AE142" s="22"/>
      <c r="AF142" s="3"/>
      <c r="AG142" s="3"/>
      <c r="AH142" s="3"/>
      <c r="AI142" s="3"/>
      <c r="AJ142" s="3"/>
      <c r="AK142" s="3"/>
      <c r="AL142" s="3"/>
      <c r="AM142" s="3"/>
      <c r="AN142" s="3"/>
      <c r="AO142" s="3"/>
    </row>
  </sheetData>
  <mergeCells count="160">
    <mergeCell ref="N2:Y2"/>
    <mergeCell ref="J3:L3"/>
    <mergeCell ref="D4:F4"/>
    <mergeCell ref="G4:H4"/>
    <mergeCell ref="D5:F5"/>
    <mergeCell ref="G5:H5"/>
    <mergeCell ref="D9:F9"/>
    <mergeCell ref="G9:H9"/>
    <mergeCell ref="D10:F10"/>
    <mergeCell ref="G10:H10"/>
    <mergeCell ref="D11:F11"/>
    <mergeCell ref="G11:H11"/>
    <mergeCell ref="D6:F6"/>
    <mergeCell ref="G6:H6"/>
    <mergeCell ref="D7:F7"/>
    <mergeCell ref="G7:H7"/>
    <mergeCell ref="D8:F8"/>
    <mergeCell ref="G8:H8"/>
    <mergeCell ref="D15:F15"/>
    <mergeCell ref="G15:H15"/>
    <mergeCell ref="D16:F16"/>
    <mergeCell ref="G16:H16"/>
    <mergeCell ref="D17:F17"/>
    <mergeCell ref="G17:H17"/>
    <mergeCell ref="D12:F12"/>
    <mergeCell ref="G12:H12"/>
    <mergeCell ref="D13:F13"/>
    <mergeCell ref="G13:H13"/>
    <mergeCell ref="D14:F14"/>
    <mergeCell ref="G14:H14"/>
    <mergeCell ref="D24:F24"/>
    <mergeCell ref="N25:Y25"/>
    <mergeCell ref="E27:H27"/>
    <mergeCell ref="K27:L27"/>
    <mergeCell ref="E28:H28"/>
    <mergeCell ref="K28:L28"/>
    <mergeCell ref="D18:F18"/>
    <mergeCell ref="D19:F19"/>
    <mergeCell ref="D20:F20"/>
    <mergeCell ref="D21:F21"/>
    <mergeCell ref="D22:F22"/>
    <mergeCell ref="D23:F23"/>
    <mergeCell ref="C25:M25"/>
    <mergeCell ref="E32:H32"/>
    <mergeCell ref="K32:L32"/>
    <mergeCell ref="E33:H33"/>
    <mergeCell ref="K33:L33"/>
    <mergeCell ref="E34:H34"/>
    <mergeCell ref="E35:H35"/>
    <mergeCell ref="E29:H29"/>
    <mergeCell ref="K29:L29"/>
    <mergeCell ref="E30:H30"/>
    <mergeCell ref="K30:L30"/>
    <mergeCell ref="E31:H31"/>
    <mergeCell ref="K31:L31"/>
    <mergeCell ref="E39:H39"/>
    <mergeCell ref="K39:L39"/>
    <mergeCell ref="E40:H40"/>
    <mergeCell ref="K40:L40"/>
    <mergeCell ref="E41:H41"/>
    <mergeCell ref="K41:L41"/>
    <mergeCell ref="E36:H36"/>
    <mergeCell ref="K36:L36"/>
    <mergeCell ref="E37:H37"/>
    <mergeCell ref="K37:L37"/>
    <mergeCell ref="E38:H38"/>
    <mergeCell ref="K38:L38"/>
    <mergeCell ref="E45:H45"/>
    <mergeCell ref="K45:L45"/>
    <mergeCell ref="E46:H46"/>
    <mergeCell ref="K46:L46"/>
    <mergeCell ref="E47:H47"/>
    <mergeCell ref="K47:L47"/>
    <mergeCell ref="E42:H42"/>
    <mergeCell ref="K42:L42"/>
    <mergeCell ref="E43:H43"/>
    <mergeCell ref="K43:L43"/>
    <mergeCell ref="E44:H44"/>
    <mergeCell ref="K44:L44"/>
    <mergeCell ref="D68:F68"/>
    <mergeCell ref="D69:F69"/>
    <mergeCell ref="D70:F70"/>
    <mergeCell ref="D71:F71"/>
    <mergeCell ref="D72:F72"/>
    <mergeCell ref="D73:F73"/>
    <mergeCell ref="D62:F62"/>
    <mergeCell ref="D63:F63"/>
    <mergeCell ref="D64:F64"/>
    <mergeCell ref="D65:F65"/>
    <mergeCell ref="D66:F66"/>
    <mergeCell ref="D67:F67"/>
    <mergeCell ref="D80:F80"/>
    <mergeCell ref="D81:F81"/>
    <mergeCell ref="D82:F82"/>
    <mergeCell ref="D83:F83"/>
    <mergeCell ref="D84:F84"/>
    <mergeCell ref="D85:F85"/>
    <mergeCell ref="D74:F74"/>
    <mergeCell ref="D75:F75"/>
    <mergeCell ref="D76:F76"/>
    <mergeCell ref="D77:F77"/>
    <mergeCell ref="D78:F78"/>
    <mergeCell ref="D79:F79"/>
    <mergeCell ref="D92:F92"/>
    <mergeCell ref="D93:F93"/>
    <mergeCell ref="D94:F94"/>
    <mergeCell ref="D95:F95"/>
    <mergeCell ref="D96:F96"/>
    <mergeCell ref="D97:F97"/>
    <mergeCell ref="D86:F86"/>
    <mergeCell ref="D87:F87"/>
    <mergeCell ref="D88:F88"/>
    <mergeCell ref="D89:F89"/>
    <mergeCell ref="D90:F90"/>
    <mergeCell ref="D91:F91"/>
    <mergeCell ref="D104:F104"/>
    <mergeCell ref="D105:F105"/>
    <mergeCell ref="D106:F106"/>
    <mergeCell ref="D107:F107"/>
    <mergeCell ref="D108:F108"/>
    <mergeCell ref="D109:F109"/>
    <mergeCell ref="D98:F98"/>
    <mergeCell ref="D99:F99"/>
    <mergeCell ref="D100:F100"/>
    <mergeCell ref="D101:F101"/>
    <mergeCell ref="D102:F102"/>
    <mergeCell ref="D103:F103"/>
    <mergeCell ref="D116:F116"/>
    <mergeCell ref="D117:F117"/>
    <mergeCell ref="D118:F118"/>
    <mergeCell ref="D119:F119"/>
    <mergeCell ref="D120:F120"/>
    <mergeCell ref="D121:F121"/>
    <mergeCell ref="D110:F110"/>
    <mergeCell ref="D111:F111"/>
    <mergeCell ref="D112:F112"/>
    <mergeCell ref="D113:F113"/>
    <mergeCell ref="D114:F114"/>
    <mergeCell ref="D115:F115"/>
    <mergeCell ref="D128:F128"/>
    <mergeCell ref="D129:F129"/>
    <mergeCell ref="D130:F130"/>
    <mergeCell ref="D131:F131"/>
    <mergeCell ref="D132:F132"/>
    <mergeCell ref="D133:F133"/>
    <mergeCell ref="D122:F122"/>
    <mergeCell ref="D123:F123"/>
    <mergeCell ref="D124:F124"/>
    <mergeCell ref="D125:F125"/>
    <mergeCell ref="D126:F126"/>
    <mergeCell ref="D127:F127"/>
    <mergeCell ref="D140:F140"/>
    <mergeCell ref="D141:F141"/>
    <mergeCell ref="D142:F142"/>
    <mergeCell ref="D134:F134"/>
    <mergeCell ref="D135:F135"/>
    <mergeCell ref="D136:F136"/>
    <mergeCell ref="D137:F137"/>
    <mergeCell ref="D138:F138"/>
    <mergeCell ref="D139:F139"/>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C3C7B-AD6F-4D81-86EA-E388EEF8E7A8}">
  <sheetPr codeName="Sheet15"/>
  <dimension ref="A1:AX204"/>
  <sheetViews>
    <sheetView topLeftCell="A161" zoomScale="80" zoomScaleNormal="80" workbookViewId="0">
      <selection activeCell="C170" sqref="C170:G170"/>
    </sheetView>
  </sheetViews>
  <sheetFormatPr defaultColWidth="9.140625" defaultRowHeight="16.5" x14ac:dyDescent="0.3"/>
  <cols>
    <col min="1" max="1" width="24.140625" style="3" customWidth="1"/>
    <col min="2" max="2" width="62" style="3" customWidth="1"/>
    <col min="3" max="3" width="20.28515625" style="3" customWidth="1"/>
    <col min="4" max="4" width="19.7109375" style="3" customWidth="1"/>
    <col min="5" max="5" width="23.5703125" style="12" customWidth="1"/>
    <col min="6" max="6" width="19.42578125" style="12" customWidth="1"/>
    <col min="7" max="7" width="19.7109375" style="12" customWidth="1"/>
    <col min="8" max="8" width="22.140625" style="12" bestFit="1" customWidth="1"/>
    <col min="9" max="9" width="26.42578125" style="36" customWidth="1"/>
    <col min="10" max="10" width="26.28515625" style="12" customWidth="1"/>
    <col min="11" max="11" width="35.140625" style="12" customWidth="1"/>
    <col min="12" max="12" width="23.85546875" style="36" customWidth="1"/>
    <col min="13" max="13" width="31.28515625" style="36" customWidth="1"/>
    <col min="14" max="14" width="19.140625" style="93" bestFit="1" customWidth="1"/>
    <col min="15" max="15" width="37.140625" style="93" customWidth="1"/>
    <col min="16" max="16" width="22.85546875" style="12" customWidth="1"/>
    <col min="17" max="17" width="24.28515625" style="12" customWidth="1"/>
    <col min="18" max="18" width="14.85546875" style="12" customWidth="1"/>
    <col min="19" max="19" width="15.140625" style="12" customWidth="1"/>
    <col min="20" max="20" width="15.5703125" style="12" customWidth="1"/>
    <col min="21" max="22" width="15.5703125" style="93" customWidth="1"/>
    <col min="23" max="23" width="14.85546875" style="12" customWidth="1"/>
    <col min="24" max="28" width="14.85546875" style="93" customWidth="1"/>
    <col min="29" max="29" width="14.85546875" style="12" customWidth="1"/>
    <col min="30" max="33" width="14.85546875" style="93" customWidth="1"/>
    <col min="34" max="36" width="16.85546875" style="12" customWidth="1"/>
    <col min="37" max="37" width="14.85546875" style="12" customWidth="1"/>
    <col min="38" max="38" width="17.140625" style="12" customWidth="1"/>
    <col min="39" max="39" width="18.85546875" style="27" customWidth="1"/>
    <col min="40" max="41" width="18.85546875" style="3" customWidth="1"/>
    <col min="42" max="45" width="18.85546875" style="11" customWidth="1"/>
    <col min="46" max="48" width="18.85546875" style="3" customWidth="1"/>
    <col min="49" max="49" width="14.85546875" style="3" customWidth="1"/>
    <col min="50" max="50" width="16.85546875" style="3" customWidth="1"/>
    <col min="51" max="16384" width="9.140625" style="3"/>
  </cols>
  <sheetData>
    <row r="1" spans="1:48" ht="20.25" x14ac:dyDescent="0.3">
      <c r="A1" s="4" t="s">
        <v>457</v>
      </c>
      <c r="B1" s="268" t="s">
        <v>149</v>
      </c>
      <c r="E1" s="24"/>
      <c r="F1" s="24"/>
      <c r="G1" s="24"/>
      <c r="H1" s="24"/>
      <c r="I1" s="161"/>
      <c r="J1" s="24"/>
      <c r="K1" s="24"/>
      <c r="L1" s="161"/>
      <c r="M1" s="161"/>
      <c r="N1" s="159"/>
      <c r="O1" s="159"/>
      <c r="P1" s="24"/>
      <c r="Q1" s="24"/>
      <c r="R1" s="24"/>
      <c r="S1" s="24"/>
      <c r="T1" s="24"/>
      <c r="U1" s="159"/>
      <c r="V1" s="159"/>
      <c r="W1" s="24"/>
      <c r="X1" s="159"/>
      <c r="Y1" s="159"/>
      <c r="Z1" s="159"/>
      <c r="AA1" s="159"/>
      <c r="AB1" s="159"/>
      <c r="AC1" s="24"/>
      <c r="AD1" s="159"/>
      <c r="AE1" s="159"/>
      <c r="AF1" s="159"/>
      <c r="AG1" s="159"/>
      <c r="AH1" s="24"/>
      <c r="AI1" s="24"/>
      <c r="AJ1" s="24"/>
      <c r="AK1" s="24"/>
      <c r="AL1" s="24"/>
    </row>
    <row r="2" spans="1:48" ht="20.25" x14ac:dyDescent="0.3">
      <c r="A2"/>
      <c r="B2" s="267" t="s">
        <v>5</v>
      </c>
      <c r="E2" s="24"/>
      <c r="F2" s="24"/>
      <c r="G2" s="24"/>
      <c r="H2" s="24"/>
      <c r="I2" s="161"/>
      <c r="J2" s="24"/>
      <c r="K2" s="24"/>
      <c r="L2" s="161"/>
      <c r="M2" s="161"/>
      <c r="N2" s="159"/>
      <c r="O2" s="159"/>
      <c r="P2" s="24"/>
      <c r="Q2" s="24"/>
      <c r="R2" s="24"/>
      <c r="S2" s="24"/>
      <c r="T2" s="24"/>
      <c r="U2" s="159"/>
      <c r="V2" s="159"/>
      <c r="W2" s="24"/>
      <c r="X2" s="159"/>
      <c r="Y2" s="159"/>
      <c r="Z2" s="159"/>
      <c r="AA2" s="159"/>
      <c r="AB2" s="159"/>
      <c r="AC2" s="24"/>
      <c r="AD2" s="159"/>
      <c r="AE2" s="159"/>
      <c r="AF2" s="159"/>
      <c r="AG2" s="159"/>
      <c r="AH2" s="24"/>
      <c r="AI2" s="24"/>
      <c r="AJ2" s="24"/>
      <c r="AK2" s="24"/>
      <c r="AL2" s="24"/>
    </row>
    <row r="3" spans="1:48" x14ac:dyDescent="0.3">
      <c r="A3" s="24"/>
      <c r="B3" s="24"/>
      <c r="C3" s="24"/>
      <c r="E3" s="24"/>
      <c r="F3" s="24"/>
      <c r="G3" s="24"/>
      <c r="H3" s="24"/>
      <c r="I3" s="161"/>
      <c r="J3" s="24"/>
      <c r="K3" s="24"/>
      <c r="L3" s="161"/>
      <c r="M3" s="161"/>
      <c r="N3" s="159"/>
      <c r="O3" s="159"/>
      <c r="P3" s="24"/>
      <c r="Q3" s="24"/>
      <c r="R3" s="24"/>
      <c r="S3" s="24"/>
      <c r="T3" s="24"/>
      <c r="U3" s="159"/>
      <c r="V3" s="159"/>
      <c r="W3" s="24"/>
      <c r="X3" s="159"/>
      <c r="Y3" s="159"/>
      <c r="Z3" s="159"/>
      <c r="AA3" s="159"/>
      <c r="AB3" s="159"/>
      <c r="AC3" s="24"/>
      <c r="AD3" s="159"/>
      <c r="AE3" s="159"/>
      <c r="AF3" s="159"/>
      <c r="AG3" s="159"/>
      <c r="AH3" s="24"/>
      <c r="AI3" s="24"/>
      <c r="AJ3" s="24"/>
      <c r="AK3" s="24"/>
      <c r="AL3" s="24"/>
    </row>
    <row r="4" spans="1:48" x14ac:dyDescent="0.3">
      <c r="A4" s="43" t="s">
        <v>6</v>
      </c>
      <c r="B4" s="57"/>
      <c r="C4" s="24"/>
      <c r="E4" s="24"/>
      <c r="F4" s="24"/>
      <c r="G4" s="24"/>
      <c r="H4" s="24"/>
      <c r="I4" s="161"/>
      <c r="J4" s="24"/>
      <c r="K4" s="24"/>
      <c r="L4" s="161"/>
      <c r="M4" s="161"/>
      <c r="N4" s="159"/>
      <c r="O4" s="159"/>
      <c r="P4" s="24"/>
      <c r="Q4" s="24"/>
      <c r="R4" s="24"/>
      <c r="S4" s="24"/>
      <c r="T4" s="24"/>
      <c r="U4" s="159"/>
      <c r="V4" s="159"/>
      <c r="W4" s="24"/>
      <c r="X4" s="159"/>
      <c r="Y4" s="159"/>
      <c r="Z4" s="159"/>
      <c r="AA4" s="159"/>
      <c r="AB4" s="159"/>
      <c r="AC4" s="27"/>
      <c r="AD4" s="22"/>
      <c r="AE4" s="22"/>
      <c r="AF4" s="22"/>
      <c r="AG4" s="22"/>
      <c r="AH4" s="11"/>
      <c r="AI4" s="11"/>
      <c r="AJ4" s="3"/>
      <c r="AK4" s="3"/>
      <c r="AL4" s="3"/>
      <c r="AM4" s="3"/>
      <c r="AP4" s="3"/>
      <c r="AQ4" s="3"/>
      <c r="AR4" s="3"/>
      <c r="AS4" s="3"/>
    </row>
    <row r="5" spans="1:48" x14ac:dyDescent="0.3">
      <c r="A5" s="43" t="s">
        <v>7</v>
      </c>
      <c r="B5" s="57"/>
      <c r="C5" s="24"/>
      <c r="E5" s="24"/>
      <c r="F5" s="24"/>
      <c r="G5" s="24"/>
      <c r="H5" s="24"/>
      <c r="I5" s="161"/>
      <c r="J5" s="24"/>
      <c r="K5" s="24"/>
      <c r="L5" s="161"/>
      <c r="M5" s="161"/>
      <c r="N5" s="159"/>
      <c r="O5" s="159"/>
      <c r="P5" s="24"/>
      <c r="Q5" s="24"/>
      <c r="R5" s="24"/>
      <c r="S5" s="24"/>
      <c r="T5" s="24"/>
      <c r="U5" s="159"/>
      <c r="V5" s="159"/>
      <c r="W5" s="24"/>
      <c r="X5" s="159"/>
      <c r="Y5" s="159"/>
      <c r="Z5" s="159"/>
      <c r="AA5" s="159"/>
      <c r="AB5" s="159"/>
      <c r="AC5" s="27"/>
      <c r="AD5" s="22"/>
      <c r="AE5" s="22"/>
      <c r="AF5" s="22"/>
      <c r="AG5" s="22"/>
      <c r="AH5" s="11"/>
      <c r="AI5" s="11"/>
      <c r="AJ5" s="3"/>
      <c r="AK5" s="3"/>
      <c r="AL5" s="3"/>
      <c r="AM5" s="3"/>
      <c r="AP5" s="3"/>
      <c r="AQ5" s="3"/>
      <c r="AR5" s="3"/>
      <c r="AS5" s="3"/>
    </row>
    <row r="6" spans="1:48" ht="18" x14ac:dyDescent="0.3">
      <c r="A6" s="43" t="s">
        <v>8</v>
      </c>
      <c r="B6" s="57"/>
      <c r="C6" s="24" t="s">
        <v>835</v>
      </c>
      <c r="E6" s="24"/>
      <c r="F6" s="24"/>
      <c r="G6" s="24"/>
      <c r="H6" s="24"/>
      <c r="I6" s="161"/>
      <c r="J6" s="24"/>
      <c r="K6" s="24"/>
      <c r="L6" s="161"/>
      <c r="M6" s="161"/>
      <c r="N6" s="159"/>
      <c r="O6" s="159"/>
      <c r="P6" s="24"/>
      <c r="Q6" s="24"/>
      <c r="R6" s="24"/>
      <c r="S6" s="24"/>
      <c r="T6" s="24"/>
      <c r="U6" s="159"/>
      <c r="V6" s="159"/>
      <c r="W6" s="24"/>
      <c r="X6" s="159"/>
      <c r="Y6" s="159"/>
      <c r="Z6" s="159"/>
      <c r="AA6" s="159"/>
      <c r="AB6" s="159"/>
      <c r="AC6" s="27"/>
      <c r="AD6" s="22"/>
      <c r="AE6" s="22"/>
      <c r="AF6" s="22"/>
      <c r="AG6" s="22"/>
      <c r="AH6" s="11"/>
      <c r="AI6" s="11"/>
      <c r="AJ6" s="3"/>
      <c r="AK6" s="3"/>
      <c r="AL6" s="3"/>
      <c r="AM6" s="3"/>
      <c r="AP6" s="3"/>
      <c r="AQ6" s="3"/>
      <c r="AR6" s="3"/>
      <c r="AS6" s="3"/>
    </row>
    <row r="7" spans="1:48" ht="14.45" customHeight="1" x14ac:dyDescent="0.3">
      <c r="A7" s="4"/>
      <c r="B7" s="28"/>
      <c r="C7" s="24"/>
      <c r="E7" s="24"/>
      <c r="F7" s="24"/>
      <c r="G7" s="24"/>
      <c r="H7" s="24"/>
      <c r="I7" s="161"/>
      <c r="J7" s="24"/>
      <c r="K7" s="24"/>
      <c r="L7" s="161"/>
      <c r="M7" s="161"/>
      <c r="N7" s="159"/>
      <c r="O7" s="159"/>
      <c r="P7" s="24"/>
      <c r="Q7" s="24"/>
      <c r="R7" s="24"/>
      <c r="S7" s="24"/>
      <c r="T7" s="24"/>
      <c r="U7" s="159"/>
      <c r="V7" s="159"/>
      <c r="W7" s="24"/>
      <c r="X7" s="159"/>
      <c r="Y7" s="159"/>
      <c r="Z7" s="159"/>
      <c r="AA7" s="159"/>
      <c r="AB7" s="159"/>
      <c r="AC7" s="27"/>
      <c r="AD7" s="22"/>
      <c r="AE7" s="22"/>
      <c r="AF7" s="22"/>
      <c r="AG7" s="22"/>
      <c r="AH7" s="11"/>
      <c r="AI7" s="11"/>
      <c r="AJ7" s="3"/>
      <c r="AK7" s="3"/>
      <c r="AL7" s="3"/>
      <c r="AM7" s="3"/>
      <c r="AP7" s="3"/>
      <c r="AQ7" s="3"/>
      <c r="AR7" s="3"/>
      <c r="AS7" s="3"/>
    </row>
    <row r="8" spans="1:48" ht="14.45" customHeight="1" x14ac:dyDescent="0.3">
      <c r="A8" s="660" t="s">
        <v>801</v>
      </c>
      <c r="B8" s="660"/>
      <c r="C8" s="660"/>
      <c r="D8" s="661" t="s">
        <v>879</v>
      </c>
      <c r="E8" s="661"/>
      <c r="F8" s="661"/>
      <c r="G8" s="661"/>
      <c r="H8" s="661"/>
      <c r="I8" s="661"/>
      <c r="J8" s="661"/>
      <c r="K8" s="24"/>
      <c r="L8" s="161"/>
      <c r="M8" s="161"/>
      <c r="N8" s="159"/>
      <c r="O8" s="159"/>
      <c r="P8" s="24"/>
      <c r="Q8" s="24"/>
      <c r="R8" s="24"/>
      <c r="S8" s="24"/>
      <c r="T8" s="24"/>
      <c r="U8" s="159"/>
      <c r="V8" s="159"/>
      <c r="W8" s="24"/>
      <c r="X8" s="159"/>
      <c r="Y8" s="159"/>
      <c r="Z8" s="159"/>
      <c r="AA8" s="159"/>
      <c r="AB8" s="159"/>
      <c r="AC8" s="27"/>
      <c r="AD8" s="22"/>
      <c r="AE8" s="22"/>
      <c r="AF8" s="22"/>
      <c r="AG8" s="22"/>
      <c r="AH8" s="11"/>
      <c r="AI8" s="11"/>
      <c r="AJ8" s="3"/>
      <c r="AK8" s="3"/>
      <c r="AL8" s="3"/>
      <c r="AM8" s="3"/>
      <c r="AP8" s="3"/>
      <c r="AQ8" s="3"/>
      <c r="AR8" s="3"/>
      <c r="AS8" s="3"/>
    </row>
    <row r="9" spans="1:48" x14ac:dyDescent="0.3">
      <c r="A9" s="683" t="s">
        <v>44</v>
      </c>
      <c r="B9" s="683"/>
      <c r="C9" s="683" t="s">
        <v>151</v>
      </c>
      <c r="D9" s="683" t="s">
        <v>458</v>
      </c>
      <c r="E9" s="668" t="s">
        <v>831</v>
      </c>
      <c r="F9" s="662" t="s">
        <v>154</v>
      </c>
      <c r="G9" s="663"/>
      <c r="H9" s="658" t="s">
        <v>153</v>
      </c>
      <c r="I9" s="662" t="s">
        <v>154</v>
      </c>
      <c r="J9" s="663"/>
      <c r="AI9" s="11"/>
      <c r="AJ9" s="11"/>
      <c r="AK9" s="11"/>
      <c r="AL9" s="11"/>
      <c r="AM9" s="3"/>
      <c r="AP9" s="3"/>
      <c r="AQ9" s="3"/>
      <c r="AR9" s="3"/>
      <c r="AS9" s="3"/>
    </row>
    <row r="10" spans="1:48" s="50" customFormat="1" ht="25.35" customHeight="1" x14ac:dyDescent="0.25">
      <c r="A10" s="683"/>
      <c r="B10" s="683"/>
      <c r="C10" s="683"/>
      <c r="D10" s="683"/>
      <c r="E10" s="669"/>
      <c r="F10" s="664"/>
      <c r="G10" s="665"/>
      <c r="H10" s="659"/>
      <c r="I10" s="664"/>
      <c r="J10" s="665"/>
      <c r="K10" s="45"/>
      <c r="L10" s="46"/>
      <c r="M10" s="46"/>
      <c r="N10" s="128"/>
      <c r="O10" s="128"/>
      <c r="P10" s="44"/>
      <c r="Q10" s="44"/>
      <c r="R10" s="44"/>
      <c r="S10" s="44"/>
      <c r="T10" s="44"/>
      <c r="U10" s="128"/>
      <c r="V10" s="128"/>
      <c r="W10" s="44"/>
      <c r="X10" s="128"/>
      <c r="Y10" s="128"/>
      <c r="Z10" s="128"/>
      <c r="AA10" s="128"/>
      <c r="AB10" s="128"/>
      <c r="AC10" s="44"/>
      <c r="AD10" s="128"/>
      <c r="AE10" s="128"/>
      <c r="AF10" s="128"/>
      <c r="AG10" s="128"/>
      <c r="AH10" s="44"/>
      <c r="AI10" s="46"/>
      <c r="AJ10" s="46"/>
      <c r="AK10" s="44"/>
      <c r="AL10" s="44"/>
      <c r="AM10" s="44"/>
      <c r="AN10" s="44"/>
    </row>
    <row r="11" spans="1:48" x14ac:dyDescent="0.3">
      <c r="A11" s="666"/>
      <c r="B11" s="667"/>
      <c r="C11" s="39">
        <v>1</v>
      </c>
      <c r="D11" s="114"/>
      <c r="E11" s="54"/>
      <c r="F11" s="604"/>
      <c r="G11" s="604"/>
      <c r="H11" s="55"/>
      <c r="I11" s="604"/>
      <c r="J11" s="604"/>
      <c r="K11" s="28"/>
      <c r="L11" s="11"/>
      <c r="M11" s="11"/>
      <c r="N11" s="22"/>
      <c r="O11" s="22"/>
      <c r="P11" s="3"/>
      <c r="Q11" s="3"/>
      <c r="R11" s="3"/>
      <c r="S11" s="3"/>
      <c r="T11" s="3"/>
      <c r="U11" s="22"/>
      <c r="V11" s="22"/>
      <c r="W11" s="3"/>
      <c r="X11" s="22"/>
      <c r="Y11" s="22"/>
      <c r="Z11" s="22"/>
      <c r="AA11" s="22"/>
      <c r="AB11" s="22"/>
      <c r="AC11" s="3"/>
      <c r="AD11" s="22"/>
      <c r="AE11" s="22"/>
      <c r="AF11" s="22"/>
      <c r="AG11" s="22"/>
      <c r="AH11" s="28"/>
      <c r="AI11" s="33"/>
      <c r="AJ11" s="33"/>
      <c r="AK11" s="4"/>
      <c r="AL11" s="4"/>
      <c r="AM11" s="4"/>
      <c r="AN11" s="4"/>
      <c r="AP11" s="3"/>
      <c r="AQ11" s="3"/>
      <c r="AR11" s="3"/>
      <c r="AS11" s="3"/>
    </row>
    <row r="12" spans="1:48" x14ac:dyDescent="0.3">
      <c r="A12" s="666"/>
      <c r="B12" s="667"/>
      <c r="C12" s="39">
        <v>2</v>
      </c>
      <c r="D12" s="114"/>
      <c r="E12" s="54"/>
      <c r="F12" s="682"/>
      <c r="G12" s="682"/>
      <c r="H12" s="55"/>
      <c r="I12" s="604"/>
      <c r="J12" s="604"/>
      <c r="K12" s="28"/>
      <c r="L12" s="133"/>
      <c r="M12" s="133"/>
      <c r="N12" s="129"/>
      <c r="O12" s="129"/>
      <c r="P12" s="42"/>
      <c r="Q12" s="42"/>
      <c r="R12" s="42"/>
      <c r="S12" s="42"/>
      <c r="T12" s="42"/>
      <c r="U12" s="129"/>
      <c r="V12" s="129"/>
      <c r="W12" s="42"/>
      <c r="X12" s="129"/>
      <c r="Y12" s="129"/>
      <c r="Z12" s="129"/>
      <c r="AA12" s="129"/>
      <c r="AB12" s="129"/>
      <c r="AC12" s="42"/>
      <c r="AD12" s="129"/>
      <c r="AE12" s="129"/>
      <c r="AF12" s="129"/>
      <c r="AG12" s="129"/>
      <c r="AH12" s="28"/>
      <c r="AI12" s="33"/>
      <c r="AJ12" s="33"/>
      <c r="AK12" s="4"/>
      <c r="AL12" s="4"/>
      <c r="AM12" s="4"/>
      <c r="AN12" s="4"/>
      <c r="AP12" s="3"/>
      <c r="AQ12" s="3"/>
      <c r="AR12" s="3"/>
      <c r="AS12" s="3"/>
    </row>
    <row r="13" spans="1:48" x14ac:dyDescent="0.3">
      <c r="A13" s="666"/>
      <c r="B13" s="667"/>
      <c r="C13" s="39">
        <v>3</v>
      </c>
      <c r="D13" s="114"/>
      <c r="E13" s="54"/>
      <c r="F13" s="604"/>
      <c r="G13" s="604"/>
      <c r="H13" s="55"/>
      <c r="I13" s="604"/>
      <c r="J13" s="604"/>
      <c r="K13" s="28"/>
      <c r="L13" s="680" t="s">
        <v>461</v>
      </c>
      <c r="M13" s="680"/>
      <c r="N13" s="680"/>
      <c r="O13" s="680"/>
      <c r="P13" s="3"/>
      <c r="Q13" s="3"/>
      <c r="R13" s="3"/>
      <c r="S13" s="3"/>
      <c r="T13" s="3"/>
      <c r="U13" s="22"/>
      <c r="V13" s="22"/>
      <c r="W13" s="3"/>
      <c r="X13" s="22"/>
      <c r="Y13" s="22"/>
      <c r="Z13" s="22"/>
      <c r="AA13" s="22"/>
      <c r="AB13" s="22"/>
      <c r="AC13" s="3"/>
      <c r="AD13" s="22"/>
      <c r="AE13" s="22"/>
      <c r="AF13" s="22"/>
      <c r="AG13" s="22"/>
      <c r="AH13" s="28"/>
      <c r="AI13" s="33"/>
      <c r="AJ13" s="33"/>
      <c r="AK13" s="4"/>
      <c r="AL13" s="4"/>
      <c r="AM13" s="4"/>
      <c r="AN13" s="4"/>
      <c r="AP13" s="3"/>
      <c r="AQ13" s="3"/>
      <c r="AR13" s="3"/>
      <c r="AS13" s="3"/>
    </row>
    <row r="14" spans="1:48" x14ac:dyDescent="0.3">
      <c r="A14" s="666"/>
      <c r="B14" s="667"/>
      <c r="C14" s="39">
        <v>4</v>
      </c>
      <c r="D14" s="114"/>
      <c r="E14" s="54"/>
      <c r="F14" s="681"/>
      <c r="G14" s="681"/>
      <c r="H14" s="55"/>
      <c r="I14" s="681"/>
      <c r="J14" s="681"/>
      <c r="K14" s="28"/>
      <c r="L14" s="680"/>
      <c r="M14" s="680"/>
      <c r="N14" s="680"/>
      <c r="O14" s="680"/>
      <c r="P14" s="3"/>
      <c r="Q14" s="3"/>
      <c r="R14" s="3"/>
      <c r="S14" s="3"/>
      <c r="T14" s="3"/>
      <c r="U14" s="22"/>
      <c r="V14" s="22"/>
      <c r="W14" s="3"/>
      <c r="X14" s="22"/>
      <c r="Y14" s="22"/>
      <c r="Z14" s="22"/>
      <c r="AA14" s="22"/>
      <c r="AB14" s="22"/>
      <c r="AC14" s="3"/>
      <c r="AD14" s="22"/>
      <c r="AE14" s="22"/>
      <c r="AF14" s="22"/>
      <c r="AG14" s="22"/>
      <c r="AH14" s="28"/>
      <c r="AI14" s="33"/>
      <c r="AJ14" s="33"/>
      <c r="AK14" s="4"/>
      <c r="AL14" s="4"/>
      <c r="AM14" s="4"/>
      <c r="AN14" s="4"/>
      <c r="AP14" s="3"/>
      <c r="AQ14" s="3"/>
      <c r="AR14" s="3"/>
      <c r="AS14" s="3"/>
    </row>
    <row r="15" spans="1:48" x14ac:dyDescent="0.3">
      <c r="A15" s="6"/>
      <c r="B15" s="6"/>
      <c r="C15" s="4"/>
      <c r="D15" s="28"/>
      <c r="E15" s="36"/>
      <c r="F15" s="30"/>
      <c r="G15" s="30"/>
      <c r="H15" s="93"/>
      <c r="I15" s="30"/>
      <c r="J15" s="30"/>
      <c r="K15" s="28"/>
      <c r="L15" s="11"/>
      <c r="M15" s="11"/>
      <c r="N15" s="22"/>
      <c r="O15" s="22"/>
      <c r="P15" s="3"/>
      <c r="Q15" s="3"/>
      <c r="R15" s="3"/>
      <c r="S15" s="3"/>
      <c r="T15" s="3"/>
      <c r="U15" s="22"/>
      <c r="V15" s="22"/>
      <c r="W15" s="3"/>
      <c r="X15" s="22"/>
      <c r="Y15" s="22"/>
      <c r="Z15" s="22"/>
      <c r="AA15" s="22"/>
      <c r="AB15" s="22"/>
      <c r="AC15" s="3"/>
      <c r="AD15" s="22"/>
      <c r="AE15" s="22"/>
      <c r="AF15" s="22"/>
      <c r="AG15" s="22"/>
      <c r="AH15" s="28"/>
      <c r="AI15" s="33"/>
      <c r="AJ15" s="33"/>
      <c r="AK15" s="4"/>
      <c r="AL15" s="4"/>
      <c r="AM15" s="4"/>
      <c r="AN15" s="4"/>
      <c r="AP15" s="3"/>
      <c r="AQ15" s="3"/>
      <c r="AR15" s="3"/>
      <c r="AS15" s="3"/>
    </row>
    <row r="16" spans="1:48" x14ac:dyDescent="0.3">
      <c r="A16" s="660" t="s">
        <v>155</v>
      </c>
      <c r="B16" s="660"/>
      <c r="C16" s="660"/>
      <c r="D16" s="661" t="s">
        <v>952</v>
      </c>
      <c r="E16" s="661"/>
      <c r="F16" s="661"/>
      <c r="G16" s="661"/>
      <c r="H16" s="661"/>
      <c r="I16" s="661"/>
      <c r="J16" s="661"/>
      <c r="K16" s="661"/>
      <c r="L16" s="661"/>
      <c r="M16" s="661"/>
      <c r="N16" s="661"/>
      <c r="O16" s="124"/>
      <c r="P16" s="28"/>
      <c r="Q16" s="28"/>
      <c r="R16" s="28"/>
      <c r="S16" s="28"/>
      <c r="T16" s="28"/>
      <c r="U16" s="124"/>
      <c r="V16" s="124"/>
      <c r="W16" s="28"/>
      <c r="X16" s="22"/>
      <c r="AH16" s="26"/>
      <c r="AI16" s="26"/>
      <c r="AL16" s="27"/>
      <c r="AM16" s="3"/>
      <c r="AO16" s="11"/>
      <c r="AS16" s="3"/>
      <c r="AU16" s="25"/>
      <c r="AV16" s="25"/>
    </row>
    <row r="17" spans="1:50" x14ac:dyDescent="0.3">
      <c r="A17" s="655" t="s">
        <v>44</v>
      </c>
      <c r="B17" s="656" t="s">
        <v>151</v>
      </c>
      <c r="C17" s="338" t="s">
        <v>103</v>
      </c>
      <c r="D17" s="342" t="s">
        <v>68</v>
      </c>
      <c r="E17" s="343" t="s">
        <v>69</v>
      </c>
      <c r="F17" s="342" t="s">
        <v>70</v>
      </c>
      <c r="G17" s="342" t="s">
        <v>71</v>
      </c>
      <c r="H17" s="342" t="s">
        <v>72</v>
      </c>
      <c r="I17" s="366" t="s">
        <v>73</v>
      </c>
      <c r="J17" s="342" t="s">
        <v>74</v>
      </c>
      <c r="K17" s="342" t="s">
        <v>75</v>
      </c>
      <c r="L17" s="368" t="s">
        <v>76</v>
      </c>
      <c r="M17" s="366" t="s">
        <v>77</v>
      </c>
      <c r="N17" s="355" t="s">
        <v>78</v>
      </c>
      <c r="O17" s="124"/>
      <c r="P17" s="28"/>
      <c r="Q17" s="28"/>
      <c r="R17" s="28"/>
      <c r="S17" s="28"/>
      <c r="T17" s="28"/>
      <c r="U17" s="124"/>
      <c r="V17" s="124"/>
      <c r="W17" s="28"/>
      <c r="AI17" s="27"/>
      <c r="AJ17" s="3"/>
      <c r="AK17" s="3"/>
      <c r="AL17" s="11"/>
      <c r="AM17" s="11"/>
      <c r="AN17" s="11"/>
      <c r="AO17" s="11"/>
      <c r="AP17" s="3"/>
      <c r="AQ17" s="3"/>
      <c r="AR17" s="25"/>
      <c r="AS17" s="25"/>
    </row>
    <row r="18" spans="1:50" x14ac:dyDescent="0.3">
      <c r="A18" s="655"/>
      <c r="B18" s="657"/>
      <c r="C18" s="342" t="s">
        <v>80</v>
      </c>
      <c r="D18" s="342" t="s">
        <v>81</v>
      </c>
      <c r="E18" s="342" t="s">
        <v>82</v>
      </c>
      <c r="F18" s="342" t="s">
        <v>83</v>
      </c>
      <c r="G18" s="342" t="s">
        <v>84</v>
      </c>
      <c r="H18" s="342" t="s">
        <v>85</v>
      </c>
      <c r="I18" s="342" t="s">
        <v>86</v>
      </c>
      <c r="J18" s="342" t="s">
        <v>87</v>
      </c>
      <c r="K18" s="342" t="s">
        <v>88</v>
      </c>
      <c r="L18" s="342" t="s">
        <v>89</v>
      </c>
      <c r="M18" s="342" t="s">
        <v>90</v>
      </c>
      <c r="N18" s="342" t="s">
        <v>91</v>
      </c>
      <c r="O18" s="342" t="s">
        <v>410</v>
      </c>
      <c r="AI18" s="27"/>
      <c r="AJ18" s="3"/>
      <c r="AK18" s="3"/>
      <c r="AL18" s="11"/>
      <c r="AM18" s="11"/>
      <c r="AN18" s="11"/>
      <c r="AO18" s="11"/>
      <c r="AP18" s="3"/>
      <c r="AQ18" s="3"/>
      <c r="AR18" s="25"/>
      <c r="AS18" s="25"/>
    </row>
    <row r="19" spans="1:50" x14ac:dyDescent="0.3">
      <c r="A19" s="138" t="str">
        <f>IF($A$11="","",(A11))</f>
        <v/>
      </c>
      <c r="B19" s="39">
        <v>1</v>
      </c>
      <c r="C19" s="55"/>
      <c r="D19" s="55"/>
      <c r="E19" s="55"/>
      <c r="F19" s="55"/>
      <c r="G19" s="55"/>
      <c r="H19" s="55"/>
      <c r="I19" s="55"/>
      <c r="J19" s="55"/>
      <c r="K19" s="55"/>
      <c r="L19" s="55"/>
      <c r="M19" s="55"/>
      <c r="N19" s="55"/>
      <c r="P19" s="36"/>
      <c r="Q19" s="36"/>
      <c r="R19" s="36"/>
      <c r="S19" s="36"/>
      <c r="T19" s="36"/>
      <c r="W19" s="36"/>
      <c r="AH19" s="26"/>
      <c r="AI19" s="26"/>
      <c r="AL19" s="27"/>
      <c r="AM19" s="3"/>
      <c r="AO19" s="11"/>
      <c r="AS19" s="3"/>
      <c r="AU19" s="25"/>
      <c r="AV19" s="25"/>
    </row>
    <row r="20" spans="1:50" x14ac:dyDescent="0.3">
      <c r="A20" s="138" t="str">
        <f>IF($A$12="","",(A12))</f>
        <v/>
      </c>
      <c r="B20" s="39">
        <v>2</v>
      </c>
      <c r="C20" s="55"/>
      <c r="D20" s="55"/>
      <c r="E20" s="55"/>
      <c r="F20" s="55"/>
      <c r="G20" s="55"/>
      <c r="H20" s="55"/>
      <c r="I20" s="55"/>
      <c r="J20" s="55"/>
      <c r="K20" s="55"/>
      <c r="L20" s="55"/>
      <c r="M20" s="55"/>
      <c r="N20" s="55"/>
      <c r="P20" s="36"/>
      <c r="Q20" s="36"/>
      <c r="R20" s="36"/>
      <c r="S20" s="36"/>
      <c r="T20" s="36"/>
      <c r="W20" s="36"/>
      <c r="AH20" s="26"/>
      <c r="AI20" s="26"/>
      <c r="AL20" s="27"/>
      <c r="AM20" s="3"/>
      <c r="AO20" s="11"/>
      <c r="AS20" s="3"/>
      <c r="AU20" s="25"/>
      <c r="AV20" s="25"/>
    </row>
    <row r="21" spans="1:50" x14ac:dyDescent="0.3">
      <c r="A21" s="138" t="str">
        <f>IF($A$13="","",(A13))</f>
        <v/>
      </c>
      <c r="B21" s="39">
        <v>3</v>
      </c>
      <c r="C21" s="116"/>
      <c r="D21" s="10"/>
      <c r="E21" s="10"/>
      <c r="F21" s="10"/>
      <c r="G21" s="10"/>
      <c r="H21" s="10"/>
      <c r="I21" s="55"/>
      <c r="J21" s="10"/>
      <c r="K21" s="10"/>
      <c r="L21" s="55"/>
      <c r="M21" s="55"/>
      <c r="N21" s="96"/>
      <c r="O21" s="22"/>
      <c r="P21" s="3"/>
      <c r="Q21" s="3"/>
      <c r="R21" s="3"/>
      <c r="S21" s="3"/>
      <c r="T21" s="3"/>
      <c r="U21" s="22"/>
      <c r="V21" s="22"/>
      <c r="W21" s="3"/>
      <c r="X21" s="22"/>
      <c r="AH21" s="26"/>
      <c r="AI21" s="26"/>
      <c r="AL21" s="27"/>
      <c r="AM21" s="3"/>
      <c r="AO21" s="11"/>
      <c r="AS21" s="3"/>
      <c r="AU21" s="25"/>
      <c r="AV21" s="25"/>
    </row>
    <row r="22" spans="1:50" x14ac:dyDescent="0.3">
      <c r="A22" s="138" t="str">
        <f>IF($A$14="","",(A14))</f>
        <v/>
      </c>
      <c r="B22" s="39">
        <v>4</v>
      </c>
      <c r="C22" s="116"/>
      <c r="D22" s="10"/>
      <c r="E22" s="10"/>
      <c r="F22" s="10"/>
      <c r="G22" s="10"/>
      <c r="H22" s="10"/>
      <c r="I22" s="55"/>
      <c r="J22" s="10"/>
      <c r="K22" s="10"/>
      <c r="L22" s="55"/>
      <c r="M22" s="55"/>
      <c r="N22" s="96"/>
      <c r="O22" s="22"/>
      <c r="P22" s="3"/>
      <c r="Q22" s="3"/>
      <c r="R22" s="3"/>
      <c r="S22" s="3"/>
      <c r="T22" s="3"/>
      <c r="U22" s="22"/>
      <c r="V22" s="22"/>
      <c r="W22" s="3"/>
      <c r="X22" s="22"/>
      <c r="AH22" s="26"/>
      <c r="AI22" s="26"/>
      <c r="AL22" s="27"/>
      <c r="AM22" s="3"/>
      <c r="AO22" s="11"/>
      <c r="AS22" s="3"/>
      <c r="AU22" s="25"/>
      <c r="AV22" s="25"/>
    </row>
    <row r="23" spans="1:50" x14ac:dyDescent="0.3">
      <c r="E23" s="3"/>
      <c r="F23" s="3"/>
      <c r="G23" s="3"/>
      <c r="H23" s="3"/>
      <c r="I23" s="11"/>
      <c r="J23" s="3"/>
      <c r="K23" s="3"/>
      <c r="L23" s="11"/>
      <c r="M23" s="11"/>
      <c r="N23" s="22"/>
      <c r="O23" s="22"/>
      <c r="P23" s="3"/>
      <c r="Q23" s="3"/>
      <c r="R23" s="3"/>
      <c r="S23" s="3"/>
      <c r="T23" s="3"/>
      <c r="U23" s="22"/>
      <c r="V23" s="22"/>
      <c r="W23" s="3"/>
      <c r="X23" s="22"/>
      <c r="Y23" s="22"/>
      <c r="Z23" s="22"/>
      <c r="AA23" s="22"/>
      <c r="AB23" s="22"/>
      <c r="AC23" s="3"/>
      <c r="AD23" s="22"/>
      <c r="AI23" s="26"/>
      <c r="AJ23" s="26"/>
      <c r="AK23" s="26"/>
      <c r="AM23" s="12"/>
      <c r="AN23" s="27"/>
      <c r="AP23" s="3"/>
      <c r="AT23" s="11"/>
      <c r="AW23" s="25"/>
      <c r="AX23" s="25"/>
    </row>
    <row r="24" spans="1:50" x14ac:dyDescent="0.3">
      <c r="A24" s="559" t="s">
        <v>794</v>
      </c>
      <c r="B24" s="559"/>
      <c r="C24" s="660"/>
      <c r="D24" s="4"/>
      <c r="E24" s="4"/>
      <c r="F24" s="4"/>
      <c r="G24" s="4"/>
      <c r="H24" s="4"/>
      <c r="I24" s="33"/>
      <c r="J24" s="4"/>
      <c r="K24" s="4"/>
      <c r="L24" s="33"/>
      <c r="M24" s="72"/>
      <c r="N24" s="124"/>
      <c r="O24" s="124"/>
      <c r="P24" s="28"/>
      <c r="Q24" s="28"/>
      <c r="R24" s="28"/>
      <c r="S24" s="28"/>
      <c r="T24" s="28"/>
      <c r="U24" s="124"/>
      <c r="V24" s="124"/>
      <c r="W24" s="28"/>
      <c r="X24" s="124"/>
      <c r="Y24" s="124"/>
      <c r="Z24" s="124"/>
      <c r="AA24" s="124"/>
      <c r="AB24" s="124"/>
      <c r="AC24" s="28"/>
      <c r="AD24" s="124"/>
      <c r="AE24" s="124"/>
      <c r="AF24" s="124"/>
      <c r="AG24" s="124"/>
      <c r="AH24" s="28"/>
      <c r="AI24" s="28"/>
      <c r="AJ24" s="28"/>
      <c r="AK24" s="28"/>
      <c r="AL24" s="28"/>
      <c r="AM24" s="32"/>
      <c r="AN24" s="4"/>
      <c r="AO24" s="4"/>
      <c r="AP24" s="33"/>
      <c r="AQ24" s="33"/>
      <c r="AR24" s="33"/>
      <c r="AS24" s="33"/>
      <c r="AT24" s="4"/>
      <c r="AU24" s="4"/>
      <c r="AV24" s="4"/>
      <c r="AW24" s="4"/>
    </row>
    <row r="25" spans="1:50" x14ac:dyDescent="0.3">
      <c r="B25" s="323"/>
      <c r="C25" s="250" t="s">
        <v>826</v>
      </c>
      <c r="D25" s="402"/>
      <c r="E25" s="403"/>
      <c r="F25" s="250" t="s">
        <v>825</v>
      </c>
      <c r="G25" s="356"/>
      <c r="I25" s="12"/>
      <c r="L25" s="93"/>
      <c r="M25" s="93"/>
      <c r="O25" s="324"/>
      <c r="P25" s="325" t="s">
        <v>792</v>
      </c>
      <c r="Q25" s="356"/>
      <c r="R25" s="3"/>
      <c r="S25" s="35"/>
      <c r="T25" s="243" t="s">
        <v>827</v>
      </c>
      <c r="U25" s="259"/>
      <c r="V25" s="255"/>
      <c r="X25" s="3"/>
      <c r="Y25" s="3"/>
      <c r="Z25" s="3"/>
      <c r="AC25" s="76"/>
      <c r="AE25" s="3"/>
      <c r="AF25" s="3"/>
      <c r="AG25" s="3"/>
      <c r="AH25" s="3"/>
      <c r="AI25" s="30"/>
      <c r="AJ25" s="30"/>
      <c r="AK25" s="3"/>
      <c r="AL25" s="3"/>
      <c r="AM25" s="3"/>
      <c r="AP25" s="3"/>
      <c r="AQ25" s="3"/>
      <c r="AR25" s="3"/>
      <c r="AS25" s="3"/>
    </row>
    <row r="26" spans="1:50" ht="34.5" x14ac:dyDescent="0.3">
      <c r="A26" s="266" t="s">
        <v>135</v>
      </c>
      <c r="B26" s="335" t="s">
        <v>143</v>
      </c>
      <c r="C26" s="272" t="s">
        <v>412</v>
      </c>
      <c r="D26" s="274" t="s">
        <v>1031</v>
      </c>
      <c r="E26" s="275" t="s">
        <v>157</v>
      </c>
      <c r="F26" s="269" t="s">
        <v>1029</v>
      </c>
      <c r="G26" s="269" t="s">
        <v>1030</v>
      </c>
      <c r="H26" s="335" t="s">
        <v>413</v>
      </c>
      <c r="I26" s="335" t="s">
        <v>414</v>
      </c>
      <c r="J26" s="335" t="s">
        <v>829</v>
      </c>
      <c r="K26" s="335" t="s">
        <v>830</v>
      </c>
      <c r="L26" s="335" t="s">
        <v>795</v>
      </c>
      <c r="M26" s="335" t="s">
        <v>831</v>
      </c>
      <c r="N26" s="335" t="s">
        <v>153</v>
      </c>
      <c r="O26" s="335" t="s">
        <v>796</v>
      </c>
      <c r="P26" s="335" t="s">
        <v>159</v>
      </c>
      <c r="Q26" s="335" t="s">
        <v>160</v>
      </c>
      <c r="R26" s="257" t="s">
        <v>824</v>
      </c>
      <c r="S26" s="269" t="s">
        <v>137</v>
      </c>
      <c r="T26" s="269" t="s">
        <v>138</v>
      </c>
      <c r="U26" s="269" t="s">
        <v>161</v>
      </c>
      <c r="V26" s="278" t="s">
        <v>162</v>
      </c>
      <c r="X26" s="51"/>
      <c r="Y26" s="51"/>
      <c r="Z26" s="3"/>
      <c r="AA26" s="3"/>
      <c r="AB26" s="3"/>
      <c r="AC26" s="3"/>
      <c r="AD26" s="3"/>
      <c r="AE26" s="3"/>
      <c r="AF26" s="3"/>
      <c r="AG26" s="3"/>
      <c r="AH26" s="3"/>
      <c r="AI26" s="3"/>
      <c r="AJ26" s="3"/>
      <c r="AK26" s="3"/>
      <c r="AL26" s="3"/>
      <c r="AM26" s="3"/>
      <c r="AP26" s="3"/>
      <c r="AQ26" s="3"/>
      <c r="AR26" s="3"/>
      <c r="AS26" s="3"/>
    </row>
    <row r="27" spans="1:50" x14ac:dyDescent="0.3">
      <c r="A27" s="282">
        <f>1</f>
        <v>1</v>
      </c>
      <c r="B27" s="38"/>
      <c r="C27" s="38"/>
      <c r="D27" s="276"/>
      <c r="E27" s="277"/>
      <c r="F27" s="38"/>
      <c r="G27" s="38"/>
      <c r="H27" s="261">
        <f t="shared" ref="H27:H36" si="0">D27*0.5</f>
        <v>0</v>
      </c>
      <c r="I27" s="260">
        <f t="shared" ref="I27:I36" si="1">(PI()*(H27*H27)*C27)/1000</f>
        <v>0</v>
      </c>
      <c r="J27" s="260">
        <f t="shared" ref="J27:J36" si="2">((PI()*(F27*0.5)*(G27*0.5)*E27)/3)/1000</f>
        <v>0</v>
      </c>
      <c r="K27" s="260">
        <f t="shared" ref="K27:K36" si="3">(((E27*F27)*G27)*0.5)/1000</f>
        <v>0</v>
      </c>
      <c r="L27" s="260" t="str">
        <f t="shared" ref="L27:L36" si="4">IFERROR(IF(VLOOKUP(B27,UdoteaInitialMetrics,2,FALSE) = "Vase-shaped", (I27+J27), IF(VLOOKUP(B27, UdoteaInitialMetrics,2,FALSE) = "Fan-shaped", (I27+K27), "")),"")</f>
        <v/>
      </c>
      <c r="M27" s="262" t="str">
        <f t="shared" ref="M27:M36" si="5">IF(B27=1,$E$11,IF(B27=2,$E$12,IF(B27=3,0,IF(B27=4,0,""))))</f>
        <v/>
      </c>
      <c r="N27" s="261" t="str">
        <f t="shared" ref="N27:N36" si="6">IF(B27=1,$H$11,IF(B27=2,$H$12,IF(B27=3,$H$13,IF(B27=4,$H$14,""))))</f>
        <v/>
      </c>
      <c r="O27" s="262" t="str">
        <f t="shared" ref="O27:O36" si="7">IFERROR((L27*M27)*N27, "")</f>
        <v/>
      </c>
      <c r="P27" s="262" t="str">
        <f t="shared" ref="P27:P36" si="8">IFERROR(O27*(1/$B$6), "")</f>
        <v/>
      </c>
      <c r="Q27" s="262" t="str">
        <f t="shared" ref="Q27:Q36" si="9">IFERROR(P27/1000,"")</f>
        <v/>
      </c>
      <c r="R27" s="258"/>
      <c r="S27" s="262" t="str">
        <f t="shared" ref="S27:S36" si="10">IF(B27=1, Q27,"")</f>
        <v/>
      </c>
      <c r="T27" s="262" t="str">
        <f t="shared" ref="T27:T36" si="11">IF(B27=2, Q27,"")</f>
        <v/>
      </c>
      <c r="U27" s="262" t="str">
        <f t="shared" ref="U27:U36" si="12">IF(B27=3, Q27,"")</f>
        <v/>
      </c>
      <c r="V27" s="264" t="str">
        <f t="shared" ref="V27:V36" si="13">IF(B27=4, Q27,"")</f>
        <v/>
      </c>
      <c r="X27" s="26"/>
      <c r="Y27" s="26"/>
      <c r="Z27" s="3"/>
      <c r="AA27" s="12"/>
      <c r="AB27" s="27"/>
      <c r="AC27" s="3"/>
      <c r="AD27" s="3"/>
      <c r="AE27" s="11"/>
      <c r="AF27" s="11"/>
      <c r="AG27" s="11"/>
      <c r="AH27" s="11"/>
      <c r="AI27" s="3"/>
      <c r="AJ27" s="3"/>
      <c r="AK27" s="3"/>
      <c r="AL27" s="3"/>
      <c r="AM27" s="3"/>
      <c r="AP27" s="3"/>
      <c r="AQ27" s="3"/>
      <c r="AR27" s="3"/>
      <c r="AS27" s="3"/>
    </row>
    <row r="28" spans="1:50" x14ac:dyDescent="0.3">
      <c r="A28" s="282">
        <f>1</f>
        <v>1</v>
      </c>
      <c r="B28" s="38"/>
      <c r="C28" s="38"/>
      <c r="D28" s="276"/>
      <c r="E28" s="277"/>
      <c r="F28" s="38"/>
      <c r="G28" s="38"/>
      <c r="H28" s="261">
        <f t="shared" si="0"/>
        <v>0</v>
      </c>
      <c r="I28" s="260">
        <f t="shared" si="1"/>
        <v>0</v>
      </c>
      <c r="J28" s="260">
        <f t="shared" si="2"/>
        <v>0</v>
      </c>
      <c r="K28" s="260">
        <f t="shared" si="3"/>
        <v>0</v>
      </c>
      <c r="L28" s="260" t="str">
        <f t="shared" si="4"/>
        <v/>
      </c>
      <c r="M28" s="262" t="str">
        <f t="shared" si="5"/>
        <v/>
      </c>
      <c r="N28" s="261" t="str">
        <f t="shared" si="6"/>
        <v/>
      </c>
      <c r="O28" s="262" t="str">
        <f t="shared" si="7"/>
        <v/>
      </c>
      <c r="P28" s="262" t="str">
        <f t="shared" si="8"/>
        <v/>
      </c>
      <c r="Q28" s="262" t="str">
        <f t="shared" si="9"/>
        <v/>
      </c>
      <c r="R28" s="258"/>
      <c r="S28" s="262" t="str">
        <f t="shared" si="10"/>
        <v/>
      </c>
      <c r="T28" s="262" t="str">
        <f t="shared" si="11"/>
        <v/>
      </c>
      <c r="U28" s="262" t="str">
        <f t="shared" si="12"/>
        <v/>
      </c>
      <c r="V28" s="264" t="str">
        <f t="shared" si="13"/>
        <v/>
      </c>
    </row>
    <row r="29" spans="1:50" x14ac:dyDescent="0.3">
      <c r="A29" s="282">
        <f>1</f>
        <v>1</v>
      </c>
      <c r="B29" s="38"/>
      <c r="C29" s="38"/>
      <c r="D29" s="276"/>
      <c r="E29" s="277"/>
      <c r="F29" s="38"/>
      <c r="G29" s="38"/>
      <c r="H29" s="261">
        <f t="shared" si="0"/>
        <v>0</v>
      </c>
      <c r="I29" s="260">
        <f t="shared" si="1"/>
        <v>0</v>
      </c>
      <c r="J29" s="260">
        <f t="shared" si="2"/>
        <v>0</v>
      </c>
      <c r="K29" s="260">
        <f t="shared" si="3"/>
        <v>0</v>
      </c>
      <c r="L29" s="260" t="str">
        <f t="shared" si="4"/>
        <v/>
      </c>
      <c r="M29" s="262" t="str">
        <f t="shared" si="5"/>
        <v/>
      </c>
      <c r="N29" s="261" t="str">
        <f t="shared" si="6"/>
        <v/>
      </c>
      <c r="O29" s="262" t="str">
        <f t="shared" si="7"/>
        <v/>
      </c>
      <c r="P29" s="262" t="str">
        <f t="shared" si="8"/>
        <v/>
      </c>
      <c r="Q29" s="262" t="str">
        <f t="shared" si="9"/>
        <v/>
      </c>
      <c r="R29" s="258"/>
      <c r="S29" s="262" t="str">
        <f t="shared" si="10"/>
        <v/>
      </c>
      <c r="T29" s="262" t="str">
        <f t="shared" si="11"/>
        <v/>
      </c>
      <c r="U29" s="262" t="str">
        <f t="shared" si="12"/>
        <v/>
      </c>
      <c r="V29" s="264" t="str">
        <f t="shared" si="13"/>
        <v/>
      </c>
    </row>
    <row r="30" spans="1:50" x14ac:dyDescent="0.3">
      <c r="A30" s="282">
        <f>1</f>
        <v>1</v>
      </c>
      <c r="B30" s="38"/>
      <c r="C30" s="38"/>
      <c r="D30" s="276"/>
      <c r="E30" s="277"/>
      <c r="F30" s="38"/>
      <c r="G30" s="38"/>
      <c r="H30" s="261">
        <f t="shared" si="0"/>
        <v>0</v>
      </c>
      <c r="I30" s="260">
        <f t="shared" si="1"/>
        <v>0</v>
      </c>
      <c r="J30" s="260">
        <f t="shared" si="2"/>
        <v>0</v>
      </c>
      <c r="K30" s="260">
        <f t="shared" si="3"/>
        <v>0</v>
      </c>
      <c r="L30" s="260" t="str">
        <f t="shared" si="4"/>
        <v/>
      </c>
      <c r="M30" s="262" t="str">
        <f t="shared" si="5"/>
        <v/>
      </c>
      <c r="N30" s="261" t="str">
        <f t="shared" si="6"/>
        <v/>
      </c>
      <c r="O30" s="262" t="str">
        <f t="shared" si="7"/>
        <v/>
      </c>
      <c r="P30" s="262" t="str">
        <f t="shared" si="8"/>
        <v/>
      </c>
      <c r="Q30" s="262" t="str">
        <f t="shared" si="9"/>
        <v/>
      </c>
      <c r="R30" s="258"/>
      <c r="S30" s="262" t="str">
        <f t="shared" si="10"/>
        <v/>
      </c>
      <c r="T30" s="262" t="str">
        <f t="shared" si="11"/>
        <v/>
      </c>
      <c r="U30" s="262" t="str">
        <f t="shared" si="12"/>
        <v/>
      </c>
      <c r="V30" s="264" t="str">
        <f t="shared" si="13"/>
        <v/>
      </c>
    </row>
    <row r="31" spans="1:50" ht="19.5" customHeight="1" x14ac:dyDescent="0.3">
      <c r="A31" s="282">
        <f>1</f>
        <v>1</v>
      </c>
      <c r="B31" s="38"/>
      <c r="C31" s="38"/>
      <c r="D31" s="276"/>
      <c r="E31" s="277"/>
      <c r="F31" s="38"/>
      <c r="G31" s="38"/>
      <c r="H31" s="261">
        <f t="shared" si="0"/>
        <v>0</v>
      </c>
      <c r="I31" s="260">
        <f t="shared" si="1"/>
        <v>0</v>
      </c>
      <c r="J31" s="260">
        <f t="shared" si="2"/>
        <v>0</v>
      </c>
      <c r="K31" s="260">
        <f t="shared" si="3"/>
        <v>0</v>
      </c>
      <c r="L31" s="260" t="str">
        <f t="shared" si="4"/>
        <v/>
      </c>
      <c r="M31" s="262" t="str">
        <f t="shared" si="5"/>
        <v/>
      </c>
      <c r="N31" s="261" t="str">
        <f t="shared" si="6"/>
        <v/>
      </c>
      <c r="O31" s="262" t="str">
        <f t="shared" si="7"/>
        <v/>
      </c>
      <c r="P31" s="262" t="str">
        <f t="shared" si="8"/>
        <v/>
      </c>
      <c r="Q31" s="262" t="str">
        <f t="shared" si="9"/>
        <v/>
      </c>
      <c r="R31" s="258"/>
      <c r="S31" s="262" t="str">
        <f t="shared" si="10"/>
        <v/>
      </c>
      <c r="T31" s="262" t="str">
        <f t="shared" si="11"/>
        <v/>
      </c>
      <c r="U31" s="262" t="str">
        <f t="shared" si="12"/>
        <v/>
      </c>
      <c r="V31" s="264" t="str">
        <f t="shared" si="13"/>
        <v/>
      </c>
    </row>
    <row r="32" spans="1:50" ht="16.5" customHeight="1" x14ac:dyDescent="0.3">
      <c r="A32" s="282">
        <f>1</f>
        <v>1</v>
      </c>
      <c r="B32" s="38"/>
      <c r="C32" s="38"/>
      <c r="D32" s="276"/>
      <c r="E32" s="277"/>
      <c r="F32" s="38"/>
      <c r="G32" s="38"/>
      <c r="H32" s="261">
        <f t="shared" si="0"/>
        <v>0</v>
      </c>
      <c r="I32" s="260">
        <f t="shared" si="1"/>
        <v>0</v>
      </c>
      <c r="J32" s="260">
        <f t="shared" si="2"/>
        <v>0</v>
      </c>
      <c r="K32" s="260">
        <f t="shared" si="3"/>
        <v>0</v>
      </c>
      <c r="L32" s="260" t="str">
        <f t="shared" si="4"/>
        <v/>
      </c>
      <c r="M32" s="262" t="str">
        <f t="shared" si="5"/>
        <v/>
      </c>
      <c r="N32" s="261" t="str">
        <f t="shared" si="6"/>
        <v/>
      </c>
      <c r="O32" s="262" t="str">
        <f t="shared" si="7"/>
        <v/>
      </c>
      <c r="P32" s="262" t="str">
        <f t="shared" si="8"/>
        <v/>
      </c>
      <c r="Q32" s="262" t="str">
        <f t="shared" si="9"/>
        <v/>
      </c>
      <c r="R32" s="258"/>
      <c r="S32" s="262" t="str">
        <f t="shared" si="10"/>
        <v/>
      </c>
      <c r="T32" s="262" t="str">
        <f t="shared" si="11"/>
        <v/>
      </c>
      <c r="U32" s="262" t="str">
        <f t="shared" si="12"/>
        <v/>
      </c>
      <c r="V32" s="264" t="str">
        <f t="shared" si="13"/>
        <v/>
      </c>
    </row>
    <row r="33" spans="1:22" x14ac:dyDescent="0.3">
      <c r="A33" s="282">
        <f>1</f>
        <v>1</v>
      </c>
      <c r="B33" s="38"/>
      <c r="C33" s="38"/>
      <c r="D33" s="276"/>
      <c r="E33" s="277"/>
      <c r="F33" s="38"/>
      <c r="G33" s="38"/>
      <c r="H33" s="261">
        <f t="shared" si="0"/>
        <v>0</v>
      </c>
      <c r="I33" s="260">
        <f t="shared" si="1"/>
        <v>0</v>
      </c>
      <c r="J33" s="260">
        <f t="shared" si="2"/>
        <v>0</v>
      </c>
      <c r="K33" s="260">
        <f t="shared" si="3"/>
        <v>0</v>
      </c>
      <c r="L33" s="260" t="str">
        <f t="shared" si="4"/>
        <v/>
      </c>
      <c r="M33" s="262" t="str">
        <f t="shared" si="5"/>
        <v/>
      </c>
      <c r="N33" s="261" t="str">
        <f t="shared" si="6"/>
        <v/>
      </c>
      <c r="O33" s="262" t="str">
        <f t="shared" si="7"/>
        <v/>
      </c>
      <c r="P33" s="262" t="str">
        <f t="shared" si="8"/>
        <v/>
      </c>
      <c r="Q33" s="262" t="str">
        <f t="shared" si="9"/>
        <v/>
      </c>
      <c r="R33" s="258"/>
      <c r="S33" s="262" t="str">
        <f t="shared" si="10"/>
        <v/>
      </c>
      <c r="T33" s="262" t="str">
        <f t="shared" si="11"/>
        <v/>
      </c>
      <c r="U33" s="262" t="str">
        <f t="shared" si="12"/>
        <v/>
      </c>
      <c r="V33" s="264" t="str">
        <f t="shared" si="13"/>
        <v/>
      </c>
    </row>
    <row r="34" spans="1:22" x14ac:dyDescent="0.3">
      <c r="A34" s="282">
        <f>1</f>
        <v>1</v>
      </c>
      <c r="B34" s="38"/>
      <c r="C34" s="38"/>
      <c r="D34" s="276"/>
      <c r="E34" s="277"/>
      <c r="F34" s="38"/>
      <c r="G34" s="38"/>
      <c r="H34" s="261">
        <f t="shared" si="0"/>
        <v>0</v>
      </c>
      <c r="I34" s="260">
        <f t="shared" si="1"/>
        <v>0</v>
      </c>
      <c r="J34" s="260">
        <f t="shared" si="2"/>
        <v>0</v>
      </c>
      <c r="K34" s="260">
        <f t="shared" si="3"/>
        <v>0</v>
      </c>
      <c r="L34" s="260" t="str">
        <f t="shared" si="4"/>
        <v/>
      </c>
      <c r="M34" s="262" t="str">
        <f t="shared" si="5"/>
        <v/>
      </c>
      <c r="N34" s="261" t="str">
        <f t="shared" si="6"/>
        <v/>
      </c>
      <c r="O34" s="262" t="str">
        <f t="shared" si="7"/>
        <v/>
      </c>
      <c r="P34" s="262" t="str">
        <f t="shared" si="8"/>
        <v/>
      </c>
      <c r="Q34" s="262" t="str">
        <f t="shared" si="9"/>
        <v/>
      </c>
      <c r="R34" s="258"/>
      <c r="S34" s="262" t="str">
        <f t="shared" si="10"/>
        <v/>
      </c>
      <c r="T34" s="262" t="str">
        <f t="shared" si="11"/>
        <v/>
      </c>
      <c r="U34" s="262" t="str">
        <f t="shared" si="12"/>
        <v/>
      </c>
      <c r="V34" s="264" t="str">
        <f t="shared" si="13"/>
        <v/>
      </c>
    </row>
    <row r="35" spans="1:22" x14ac:dyDescent="0.3">
      <c r="A35" s="282">
        <f>1</f>
        <v>1</v>
      </c>
      <c r="B35" s="38"/>
      <c r="C35" s="38"/>
      <c r="D35" s="276"/>
      <c r="E35" s="277"/>
      <c r="F35" s="38"/>
      <c r="G35" s="38"/>
      <c r="H35" s="261">
        <f t="shared" si="0"/>
        <v>0</v>
      </c>
      <c r="I35" s="260">
        <f t="shared" si="1"/>
        <v>0</v>
      </c>
      <c r="J35" s="260">
        <f t="shared" si="2"/>
        <v>0</v>
      </c>
      <c r="K35" s="260">
        <f t="shared" si="3"/>
        <v>0</v>
      </c>
      <c r="L35" s="260" t="str">
        <f t="shared" si="4"/>
        <v/>
      </c>
      <c r="M35" s="262" t="str">
        <f t="shared" si="5"/>
        <v/>
      </c>
      <c r="N35" s="261" t="str">
        <f t="shared" si="6"/>
        <v/>
      </c>
      <c r="O35" s="262" t="str">
        <f t="shared" si="7"/>
        <v/>
      </c>
      <c r="P35" s="262" t="str">
        <f t="shared" si="8"/>
        <v/>
      </c>
      <c r="Q35" s="262" t="str">
        <f t="shared" si="9"/>
        <v/>
      </c>
      <c r="R35" s="258"/>
      <c r="S35" s="262" t="str">
        <f t="shared" si="10"/>
        <v/>
      </c>
      <c r="T35" s="262" t="str">
        <f t="shared" si="11"/>
        <v/>
      </c>
      <c r="U35" s="262" t="str">
        <f t="shared" si="12"/>
        <v/>
      </c>
      <c r="V35" s="264" t="str">
        <f t="shared" si="13"/>
        <v/>
      </c>
    </row>
    <row r="36" spans="1:22" x14ac:dyDescent="0.3">
      <c r="A36" s="282">
        <f>1</f>
        <v>1</v>
      </c>
      <c r="B36" s="38"/>
      <c r="C36" s="38"/>
      <c r="D36" s="276"/>
      <c r="E36" s="277"/>
      <c r="F36" s="38"/>
      <c r="G36" s="38"/>
      <c r="H36" s="261">
        <f t="shared" si="0"/>
        <v>0</v>
      </c>
      <c r="I36" s="260">
        <f t="shared" si="1"/>
        <v>0</v>
      </c>
      <c r="J36" s="260">
        <f t="shared" si="2"/>
        <v>0</v>
      </c>
      <c r="K36" s="260">
        <f t="shared" si="3"/>
        <v>0</v>
      </c>
      <c r="L36" s="260" t="str">
        <f t="shared" si="4"/>
        <v/>
      </c>
      <c r="M36" s="262" t="str">
        <f t="shared" si="5"/>
        <v/>
      </c>
      <c r="N36" s="261" t="str">
        <f t="shared" si="6"/>
        <v/>
      </c>
      <c r="O36" s="262" t="str">
        <f t="shared" si="7"/>
        <v/>
      </c>
      <c r="P36" s="262" t="str">
        <f t="shared" si="8"/>
        <v/>
      </c>
      <c r="Q36" s="262" t="str">
        <f t="shared" si="9"/>
        <v/>
      </c>
      <c r="R36" s="258"/>
      <c r="S36" s="262" t="str">
        <f t="shared" si="10"/>
        <v/>
      </c>
      <c r="T36" s="262" t="str">
        <f t="shared" si="11"/>
        <v/>
      </c>
      <c r="U36" s="262" t="str">
        <f t="shared" si="12"/>
        <v/>
      </c>
      <c r="V36" s="264" t="str">
        <f t="shared" si="13"/>
        <v/>
      </c>
    </row>
    <row r="37" spans="1:22" x14ac:dyDescent="0.3">
      <c r="B37" s="4" t="s">
        <v>139</v>
      </c>
      <c r="C37" s="4"/>
      <c r="D37" s="4"/>
      <c r="E37" s="253">
        <f>COUNT(B27:B36)</f>
        <v>0</v>
      </c>
      <c r="F37" s="28"/>
      <c r="G37" s="28"/>
      <c r="H37" s="28"/>
      <c r="I37" s="72"/>
      <c r="J37" s="72"/>
      <c r="K37" s="36"/>
      <c r="L37" s="93"/>
      <c r="M37" s="93"/>
      <c r="N37" s="12"/>
      <c r="O37" s="12"/>
      <c r="P37" s="254">
        <f>SUM(P27:P36)</f>
        <v>0</v>
      </c>
      <c r="Q37" s="254">
        <f>SUM(Q27:Q36)</f>
        <v>0</v>
      </c>
      <c r="S37" s="254">
        <f>SUM(S27:S36)</f>
        <v>0</v>
      </c>
      <c r="T37" s="256">
        <f>SUM(T27:T36)</f>
        <v>0</v>
      </c>
      <c r="U37" s="256">
        <f>SUM(U27:U36)</f>
        <v>0</v>
      </c>
      <c r="V37" s="256">
        <f>SUM(V27:V36)</f>
        <v>0</v>
      </c>
    </row>
    <row r="38" spans="1:22" ht="19.5" customHeight="1" x14ac:dyDescent="0.3">
      <c r="B38" s="4"/>
      <c r="S38" s="93"/>
    </row>
    <row r="39" spans="1:22" ht="16.5" customHeight="1" x14ac:dyDescent="0.3">
      <c r="A39" s="4"/>
      <c r="C39" s="4"/>
      <c r="D39" s="4"/>
      <c r="E39" s="4"/>
      <c r="F39" s="4"/>
      <c r="G39" s="4"/>
      <c r="H39" s="4"/>
      <c r="I39" s="4"/>
      <c r="J39" s="4"/>
      <c r="K39" s="4"/>
      <c r="L39" s="4"/>
      <c r="M39" s="4"/>
      <c r="N39" s="4"/>
      <c r="O39" s="4"/>
      <c r="P39" s="4"/>
      <c r="Q39" s="4"/>
      <c r="R39" s="4"/>
      <c r="S39" s="4"/>
      <c r="T39" s="4"/>
      <c r="U39" s="4"/>
      <c r="V39" s="4"/>
    </row>
    <row r="40" spans="1:22" x14ac:dyDescent="0.3">
      <c r="A40" s="4"/>
      <c r="B40" s="4"/>
      <c r="C40" s="4"/>
      <c r="D40" s="4"/>
      <c r="E40" s="4"/>
      <c r="F40" s="4"/>
      <c r="G40" s="4"/>
      <c r="H40" s="4"/>
      <c r="I40" s="4"/>
      <c r="J40" s="4"/>
      <c r="K40" s="4"/>
      <c r="L40" s="4"/>
      <c r="M40" s="4"/>
      <c r="N40" s="4"/>
      <c r="O40" s="4"/>
      <c r="P40" s="4"/>
      <c r="Q40" s="4"/>
      <c r="R40" s="4"/>
      <c r="S40" s="4"/>
      <c r="T40" s="4"/>
      <c r="U40" s="4"/>
      <c r="V40" s="4"/>
    </row>
    <row r="41" spans="1:22" x14ac:dyDescent="0.3">
      <c r="B41" s="323"/>
      <c r="C41" s="250" t="s">
        <v>826</v>
      </c>
      <c r="D41" s="402"/>
      <c r="E41" s="403"/>
      <c r="F41" s="250" t="s">
        <v>825</v>
      </c>
      <c r="G41" s="356"/>
      <c r="I41" s="12"/>
      <c r="L41" s="93"/>
      <c r="M41" s="93"/>
      <c r="O41" s="95"/>
      <c r="P41" s="245" t="s">
        <v>792</v>
      </c>
      <c r="Q41" s="87"/>
      <c r="R41" s="3"/>
      <c r="S41" s="35"/>
      <c r="T41" s="243" t="s">
        <v>827</v>
      </c>
      <c r="U41" s="259"/>
      <c r="V41" s="255"/>
    </row>
    <row r="42" spans="1:22" ht="34.5" x14ac:dyDescent="0.3">
      <c r="A42" s="266" t="s">
        <v>135</v>
      </c>
      <c r="B42" s="335" t="s">
        <v>143</v>
      </c>
      <c r="C42" s="272" t="s">
        <v>412</v>
      </c>
      <c r="D42" s="274" t="s">
        <v>1031</v>
      </c>
      <c r="E42" s="275" t="s">
        <v>157</v>
      </c>
      <c r="F42" s="269" t="s">
        <v>1029</v>
      </c>
      <c r="G42" s="269" t="s">
        <v>1030</v>
      </c>
      <c r="H42" s="335" t="s">
        <v>413</v>
      </c>
      <c r="I42" s="335" t="s">
        <v>414</v>
      </c>
      <c r="J42" s="335" t="s">
        <v>829</v>
      </c>
      <c r="K42" s="335" t="s">
        <v>830</v>
      </c>
      <c r="L42" s="335" t="s">
        <v>795</v>
      </c>
      <c r="M42" s="335" t="s">
        <v>409</v>
      </c>
      <c r="N42" s="335" t="s">
        <v>153</v>
      </c>
      <c r="O42" s="269" t="s">
        <v>796</v>
      </c>
      <c r="P42" s="269" t="s">
        <v>159</v>
      </c>
      <c r="Q42" s="269" t="s">
        <v>160</v>
      </c>
      <c r="R42" s="257" t="s">
        <v>824</v>
      </c>
      <c r="S42" s="269" t="s">
        <v>137</v>
      </c>
      <c r="T42" s="269" t="s">
        <v>138</v>
      </c>
      <c r="U42" s="269" t="s">
        <v>161</v>
      </c>
      <c r="V42" s="278" t="s">
        <v>162</v>
      </c>
    </row>
    <row r="43" spans="1:22" x14ac:dyDescent="0.3">
      <c r="A43" s="263">
        <f>2</f>
        <v>2</v>
      </c>
      <c r="B43" s="38"/>
      <c r="C43" s="38"/>
      <c r="D43" s="276"/>
      <c r="E43" s="277"/>
      <c r="F43" s="38"/>
      <c r="G43" s="38"/>
      <c r="H43" s="261">
        <f t="shared" ref="H43:H52" si="14">D43*0.5</f>
        <v>0</v>
      </c>
      <c r="I43" s="260">
        <f t="shared" ref="I43:I52" si="15">(PI()*(H43*H43)*C43)/1000</f>
        <v>0</v>
      </c>
      <c r="J43" s="260">
        <f t="shared" ref="J43:J52" si="16">((PI()*(F43*0.5)*(G43*0.5)*E43)/3)/1000</f>
        <v>0</v>
      </c>
      <c r="K43" s="260">
        <f t="shared" ref="K43:K52" si="17">(((E43*F43)*G43)*0.5)/1000</f>
        <v>0</v>
      </c>
      <c r="L43" s="260" t="str">
        <f t="shared" ref="L43:L52" si="18">IFERROR(IF(VLOOKUP(B43,UdoteaInitialMetrics,2,FALSE) = "Vase-shaped", (I43+J43), IF(VLOOKUP(B43, UdoteaInitialMetrics,2,FALSE) = "Fan-shaped", (I43+K43), "")),"")</f>
        <v/>
      </c>
      <c r="M43" s="262" t="str">
        <f t="shared" ref="M43:M52" si="19">IF(B43=1,$E$11,IF(B43=2,$E$12,IF(B43=3,0,IF(B43=4,0,""))))</f>
        <v/>
      </c>
      <c r="N43" s="261" t="str">
        <f t="shared" ref="N43:N52" si="20">IF(B43=1,$H$11,IF(B43=2,$H$12,IF(B43=3,$H$13,IF(B43=4,$H$14,""))))</f>
        <v/>
      </c>
      <c r="O43" s="262" t="str">
        <f t="shared" ref="O43:O52" si="21">IFERROR((L43*M43)*N43, "")</f>
        <v/>
      </c>
      <c r="P43" s="262" t="str">
        <f t="shared" ref="P43:P52" si="22">IFERROR(O43*(1/$B$6), "")</f>
        <v/>
      </c>
      <c r="Q43" s="262" t="str">
        <f t="shared" ref="Q43:Q52" si="23">IFERROR(P43/1000,"")</f>
        <v/>
      </c>
      <c r="R43" s="258"/>
      <c r="S43" s="262" t="str">
        <f t="shared" ref="S43:S52" si="24">IF(B43=1, Q43,"")</f>
        <v/>
      </c>
      <c r="T43" s="262" t="str">
        <f t="shared" ref="T43:T52" si="25">IF(B43=2, Q43,"")</f>
        <v/>
      </c>
      <c r="U43" s="262" t="str">
        <f t="shared" ref="U43:U52" si="26">IF(B43=3, Q43,"")</f>
        <v/>
      </c>
      <c r="V43" s="264" t="str">
        <f t="shared" ref="V43:V52" si="27">IF(B43=4, Q43,"")</f>
        <v/>
      </c>
    </row>
    <row r="44" spans="1:22" x14ac:dyDescent="0.3">
      <c r="A44" s="263">
        <f>2</f>
        <v>2</v>
      </c>
      <c r="B44" s="38"/>
      <c r="C44" s="38"/>
      <c r="D44" s="276"/>
      <c r="E44" s="277"/>
      <c r="F44" s="38"/>
      <c r="G44" s="38"/>
      <c r="H44" s="261">
        <f t="shared" si="14"/>
        <v>0</v>
      </c>
      <c r="I44" s="260">
        <f t="shared" si="15"/>
        <v>0</v>
      </c>
      <c r="J44" s="260">
        <f t="shared" si="16"/>
        <v>0</v>
      </c>
      <c r="K44" s="260">
        <f t="shared" si="17"/>
        <v>0</v>
      </c>
      <c r="L44" s="260" t="str">
        <f t="shared" si="18"/>
        <v/>
      </c>
      <c r="M44" s="262" t="str">
        <f t="shared" si="19"/>
        <v/>
      </c>
      <c r="N44" s="261" t="str">
        <f t="shared" si="20"/>
        <v/>
      </c>
      <c r="O44" s="262" t="str">
        <f t="shared" si="21"/>
        <v/>
      </c>
      <c r="P44" s="262" t="str">
        <f t="shared" si="22"/>
        <v/>
      </c>
      <c r="Q44" s="262" t="str">
        <f t="shared" si="23"/>
        <v/>
      </c>
      <c r="R44" s="258"/>
      <c r="S44" s="262" t="str">
        <f t="shared" si="24"/>
        <v/>
      </c>
      <c r="T44" s="262" t="str">
        <f t="shared" si="25"/>
        <v/>
      </c>
      <c r="U44" s="262" t="str">
        <f t="shared" si="26"/>
        <v/>
      </c>
      <c r="V44" s="264" t="str">
        <f t="shared" si="27"/>
        <v/>
      </c>
    </row>
    <row r="45" spans="1:22" ht="16.5" customHeight="1" x14ac:dyDescent="0.3">
      <c r="A45" s="263">
        <f>2</f>
        <v>2</v>
      </c>
      <c r="B45" s="38"/>
      <c r="C45" s="38"/>
      <c r="D45" s="276"/>
      <c r="E45" s="277"/>
      <c r="F45" s="38"/>
      <c r="G45" s="38"/>
      <c r="H45" s="261">
        <f t="shared" si="14"/>
        <v>0</v>
      </c>
      <c r="I45" s="260">
        <f t="shared" si="15"/>
        <v>0</v>
      </c>
      <c r="J45" s="260">
        <f t="shared" si="16"/>
        <v>0</v>
      </c>
      <c r="K45" s="260">
        <f t="shared" si="17"/>
        <v>0</v>
      </c>
      <c r="L45" s="260" t="str">
        <f t="shared" si="18"/>
        <v/>
      </c>
      <c r="M45" s="262" t="str">
        <f t="shared" si="19"/>
        <v/>
      </c>
      <c r="N45" s="261" t="str">
        <f t="shared" si="20"/>
        <v/>
      </c>
      <c r="O45" s="262" t="str">
        <f t="shared" si="21"/>
        <v/>
      </c>
      <c r="P45" s="262" t="str">
        <f t="shared" si="22"/>
        <v/>
      </c>
      <c r="Q45" s="262" t="str">
        <f t="shared" si="23"/>
        <v/>
      </c>
      <c r="R45" s="258"/>
      <c r="S45" s="262" t="str">
        <f t="shared" si="24"/>
        <v/>
      </c>
      <c r="T45" s="262" t="str">
        <f t="shared" si="25"/>
        <v/>
      </c>
      <c r="U45" s="262" t="str">
        <f t="shared" si="26"/>
        <v/>
      </c>
      <c r="V45" s="264" t="str">
        <f t="shared" si="27"/>
        <v/>
      </c>
    </row>
    <row r="46" spans="1:22" x14ac:dyDescent="0.3">
      <c r="A46" s="263">
        <f>2</f>
        <v>2</v>
      </c>
      <c r="B46" s="38"/>
      <c r="C46" s="38"/>
      <c r="D46" s="276"/>
      <c r="E46" s="277"/>
      <c r="F46" s="38"/>
      <c r="G46" s="38"/>
      <c r="H46" s="261">
        <f t="shared" si="14"/>
        <v>0</v>
      </c>
      <c r="I46" s="260">
        <f t="shared" si="15"/>
        <v>0</v>
      </c>
      <c r="J46" s="260">
        <f t="shared" si="16"/>
        <v>0</v>
      </c>
      <c r="K46" s="260">
        <f t="shared" si="17"/>
        <v>0</v>
      </c>
      <c r="L46" s="260" t="str">
        <f t="shared" si="18"/>
        <v/>
      </c>
      <c r="M46" s="262" t="str">
        <f t="shared" si="19"/>
        <v/>
      </c>
      <c r="N46" s="261" t="str">
        <f t="shared" si="20"/>
        <v/>
      </c>
      <c r="O46" s="262" t="str">
        <f t="shared" si="21"/>
        <v/>
      </c>
      <c r="P46" s="262" t="str">
        <f t="shared" si="22"/>
        <v/>
      </c>
      <c r="Q46" s="262" t="str">
        <f t="shared" si="23"/>
        <v/>
      </c>
      <c r="R46" s="258"/>
      <c r="S46" s="262" t="str">
        <f t="shared" si="24"/>
        <v/>
      </c>
      <c r="T46" s="262" t="str">
        <f t="shared" si="25"/>
        <v/>
      </c>
      <c r="U46" s="262" t="str">
        <f t="shared" si="26"/>
        <v/>
      </c>
      <c r="V46" s="264" t="str">
        <f t="shared" si="27"/>
        <v/>
      </c>
    </row>
    <row r="47" spans="1:22" x14ac:dyDescent="0.3">
      <c r="A47" s="263">
        <f>2</f>
        <v>2</v>
      </c>
      <c r="B47" s="38"/>
      <c r="C47" s="38"/>
      <c r="D47" s="276"/>
      <c r="E47" s="277"/>
      <c r="F47" s="38"/>
      <c r="G47" s="38"/>
      <c r="H47" s="261">
        <f t="shared" si="14"/>
        <v>0</v>
      </c>
      <c r="I47" s="260">
        <f t="shared" si="15"/>
        <v>0</v>
      </c>
      <c r="J47" s="260">
        <f t="shared" si="16"/>
        <v>0</v>
      </c>
      <c r="K47" s="260">
        <f t="shared" si="17"/>
        <v>0</v>
      </c>
      <c r="L47" s="260" t="str">
        <f t="shared" si="18"/>
        <v/>
      </c>
      <c r="M47" s="262" t="str">
        <f t="shared" si="19"/>
        <v/>
      </c>
      <c r="N47" s="261" t="str">
        <f t="shared" si="20"/>
        <v/>
      </c>
      <c r="O47" s="262" t="str">
        <f t="shared" si="21"/>
        <v/>
      </c>
      <c r="P47" s="262" t="str">
        <f t="shared" si="22"/>
        <v/>
      </c>
      <c r="Q47" s="262" t="str">
        <f t="shared" si="23"/>
        <v/>
      </c>
      <c r="R47" s="258"/>
      <c r="S47" s="262" t="str">
        <f t="shared" si="24"/>
        <v/>
      </c>
      <c r="T47" s="262" t="str">
        <f t="shared" si="25"/>
        <v/>
      </c>
      <c r="U47" s="262" t="str">
        <f t="shared" si="26"/>
        <v/>
      </c>
      <c r="V47" s="264" t="str">
        <f t="shared" si="27"/>
        <v/>
      </c>
    </row>
    <row r="48" spans="1:22" x14ac:dyDescent="0.3">
      <c r="A48" s="263">
        <f>2</f>
        <v>2</v>
      </c>
      <c r="B48" s="38"/>
      <c r="C48" s="38"/>
      <c r="D48" s="276"/>
      <c r="E48" s="277"/>
      <c r="F48" s="38"/>
      <c r="G48" s="38"/>
      <c r="H48" s="261">
        <f t="shared" si="14"/>
        <v>0</v>
      </c>
      <c r="I48" s="260">
        <f t="shared" si="15"/>
        <v>0</v>
      </c>
      <c r="J48" s="260">
        <f t="shared" si="16"/>
        <v>0</v>
      </c>
      <c r="K48" s="260">
        <f t="shared" si="17"/>
        <v>0</v>
      </c>
      <c r="L48" s="260" t="str">
        <f t="shared" si="18"/>
        <v/>
      </c>
      <c r="M48" s="262" t="str">
        <f t="shared" si="19"/>
        <v/>
      </c>
      <c r="N48" s="261" t="str">
        <f t="shared" si="20"/>
        <v/>
      </c>
      <c r="O48" s="262" t="str">
        <f t="shared" si="21"/>
        <v/>
      </c>
      <c r="P48" s="262" t="str">
        <f t="shared" si="22"/>
        <v/>
      </c>
      <c r="Q48" s="262" t="str">
        <f t="shared" si="23"/>
        <v/>
      </c>
      <c r="R48" s="258"/>
      <c r="S48" s="262" t="str">
        <f t="shared" si="24"/>
        <v/>
      </c>
      <c r="T48" s="262" t="str">
        <f t="shared" si="25"/>
        <v/>
      </c>
      <c r="U48" s="262" t="str">
        <f t="shared" si="26"/>
        <v/>
      </c>
      <c r="V48" s="264" t="str">
        <f t="shared" si="27"/>
        <v/>
      </c>
    </row>
    <row r="49" spans="1:22" x14ac:dyDescent="0.3">
      <c r="A49" s="263">
        <f>2</f>
        <v>2</v>
      </c>
      <c r="B49" s="38"/>
      <c r="C49" s="38"/>
      <c r="D49" s="276"/>
      <c r="E49" s="277"/>
      <c r="F49" s="38"/>
      <c r="G49" s="38"/>
      <c r="H49" s="261">
        <f t="shared" si="14"/>
        <v>0</v>
      </c>
      <c r="I49" s="260">
        <f t="shared" si="15"/>
        <v>0</v>
      </c>
      <c r="J49" s="260">
        <f t="shared" si="16"/>
        <v>0</v>
      </c>
      <c r="K49" s="260">
        <f t="shared" si="17"/>
        <v>0</v>
      </c>
      <c r="L49" s="260" t="str">
        <f t="shared" si="18"/>
        <v/>
      </c>
      <c r="M49" s="262" t="str">
        <f t="shared" si="19"/>
        <v/>
      </c>
      <c r="N49" s="261" t="str">
        <f t="shared" si="20"/>
        <v/>
      </c>
      <c r="O49" s="262" t="str">
        <f t="shared" si="21"/>
        <v/>
      </c>
      <c r="P49" s="262" t="str">
        <f t="shared" si="22"/>
        <v/>
      </c>
      <c r="Q49" s="262" t="str">
        <f t="shared" si="23"/>
        <v/>
      </c>
      <c r="R49" s="258"/>
      <c r="S49" s="262" t="str">
        <f t="shared" si="24"/>
        <v/>
      </c>
      <c r="T49" s="262" t="str">
        <f t="shared" si="25"/>
        <v/>
      </c>
      <c r="U49" s="262" t="str">
        <f t="shared" si="26"/>
        <v/>
      </c>
      <c r="V49" s="264" t="str">
        <f t="shared" si="27"/>
        <v/>
      </c>
    </row>
    <row r="50" spans="1:22" x14ac:dyDescent="0.3">
      <c r="A50" s="263">
        <f>2</f>
        <v>2</v>
      </c>
      <c r="B50" s="38"/>
      <c r="C50" s="38"/>
      <c r="D50" s="276"/>
      <c r="E50" s="277"/>
      <c r="F50" s="38"/>
      <c r="G50" s="38"/>
      <c r="H50" s="261">
        <f t="shared" si="14"/>
        <v>0</v>
      </c>
      <c r="I50" s="260">
        <f t="shared" si="15"/>
        <v>0</v>
      </c>
      <c r="J50" s="260">
        <f t="shared" si="16"/>
        <v>0</v>
      </c>
      <c r="K50" s="260">
        <f t="shared" si="17"/>
        <v>0</v>
      </c>
      <c r="L50" s="260" t="str">
        <f t="shared" si="18"/>
        <v/>
      </c>
      <c r="M50" s="262" t="str">
        <f t="shared" si="19"/>
        <v/>
      </c>
      <c r="N50" s="261" t="str">
        <f t="shared" si="20"/>
        <v/>
      </c>
      <c r="O50" s="262" t="str">
        <f t="shared" si="21"/>
        <v/>
      </c>
      <c r="P50" s="262" t="str">
        <f t="shared" si="22"/>
        <v/>
      </c>
      <c r="Q50" s="262" t="str">
        <f t="shared" si="23"/>
        <v/>
      </c>
      <c r="R50" s="258"/>
      <c r="S50" s="262" t="str">
        <f t="shared" si="24"/>
        <v/>
      </c>
      <c r="T50" s="262" t="str">
        <f t="shared" si="25"/>
        <v/>
      </c>
      <c r="U50" s="262" t="str">
        <f t="shared" si="26"/>
        <v/>
      </c>
      <c r="V50" s="264" t="str">
        <f t="shared" si="27"/>
        <v/>
      </c>
    </row>
    <row r="51" spans="1:22" x14ac:dyDescent="0.3">
      <c r="A51" s="263">
        <f>2</f>
        <v>2</v>
      </c>
      <c r="B51" s="38"/>
      <c r="C51" s="38"/>
      <c r="D51" s="276"/>
      <c r="E51" s="277"/>
      <c r="F51" s="38"/>
      <c r="G51" s="38"/>
      <c r="H51" s="261">
        <f t="shared" si="14"/>
        <v>0</v>
      </c>
      <c r="I51" s="260">
        <f t="shared" si="15"/>
        <v>0</v>
      </c>
      <c r="J51" s="260">
        <f t="shared" si="16"/>
        <v>0</v>
      </c>
      <c r="K51" s="260">
        <f t="shared" si="17"/>
        <v>0</v>
      </c>
      <c r="L51" s="260" t="str">
        <f t="shared" si="18"/>
        <v/>
      </c>
      <c r="M51" s="262" t="str">
        <f t="shared" si="19"/>
        <v/>
      </c>
      <c r="N51" s="261" t="str">
        <f t="shared" si="20"/>
        <v/>
      </c>
      <c r="O51" s="262" t="str">
        <f t="shared" si="21"/>
        <v/>
      </c>
      <c r="P51" s="262" t="str">
        <f t="shared" si="22"/>
        <v/>
      </c>
      <c r="Q51" s="262" t="str">
        <f t="shared" si="23"/>
        <v/>
      </c>
      <c r="R51" s="258"/>
      <c r="S51" s="262" t="str">
        <f t="shared" si="24"/>
        <v/>
      </c>
      <c r="T51" s="262" t="str">
        <f t="shared" si="25"/>
        <v/>
      </c>
      <c r="U51" s="262" t="str">
        <f t="shared" si="26"/>
        <v/>
      </c>
      <c r="V51" s="264" t="str">
        <f t="shared" si="27"/>
        <v/>
      </c>
    </row>
    <row r="52" spans="1:22" ht="16.5" customHeight="1" x14ac:dyDescent="0.3">
      <c r="A52" s="263">
        <f>2</f>
        <v>2</v>
      </c>
      <c r="B52" s="38"/>
      <c r="C52" s="38"/>
      <c r="D52" s="276"/>
      <c r="E52" s="277"/>
      <c r="F52" s="38"/>
      <c r="G52" s="38"/>
      <c r="H52" s="261">
        <f t="shared" si="14"/>
        <v>0</v>
      </c>
      <c r="I52" s="260">
        <f t="shared" si="15"/>
        <v>0</v>
      </c>
      <c r="J52" s="260">
        <f t="shared" si="16"/>
        <v>0</v>
      </c>
      <c r="K52" s="260">
        <f t="shared" si="17"/>
        <v>0</v>
      </c>
      <c r="L52" s="260" t="str">
        <f t="shared" si="18"/>
        <v/>
      </c>
      <c r="M52" s="262" t="str">
        <f t="shared" si="19"/>
        <v/>
      </c>
      <c r="N52" s="261" t="str">
        <f t="shared" si="20"/>
        <v/>
      </c>
      <c r="O52" s="262" t="str">
        <f t="shared" si="21"/>
        <v/>
      </c>
      <c r="P52" s="262" t="str">
        <f t="shared" si="22"/>
        <v/>
      </c>
      <c r="Q52" s="262" t="str">
        <f t="shared" si="23"/>
        <v/>
      </c>
      <c r="R52" s="258"/>
      <c r="S52" s="262" t="str">
        <f t="shared" si="24"/>
        <v/>
      </c>
      <c r="T52" s="262" t="str">
        <f t="shared" si="25"/>
        <v/>
      </c>
      <c r="U52" s="262" t="str">
        <f t="shared" si="26"/>
        <v/>
      </c>
      <c r="V52" s="264" t="str">
        <f t="shared" si="27"/>
        <v/>
      </c>
    </row>
    <row r="53" spans="1:22" x14ac:dyDescent="0.3">
      <c r="B53" s="4" t="s">
        <v>139</v>
      </c>
      <c r="C53" s="4"/>
      <c r="D53" s="4"/>
      <c r="E53" s="253">
        <f>COUNT(B43:B52)</f>
        <v>0</v>
      </c>
      <c r="F53" s="28"/>
      <c r="G53" s="28"/>
      <c r="H53" s="28"/>
      <c r="I53" s="72"/>
      <c r="J53" s="72"/>
      <c r="K53" s="36"/>
      <c r="L53" s="93"/>
      <c r="M53" s="93"/>
      <c r="N53" s="12"/>
      <c r="O53" s="12"/>
      <c r="P53" s="254">
        <f>SUM(P43:P52)</f>
        <v>0</v>
      </c>
      <c r="Q53" s="254">
        <f>SUM(Q43:Q52)</f>
        <v>0</v>
      </c>
      <c r="S53" s="254">
        <f>SUM(S43:S52)</f>
        <v>0</v>
      </c>
      <c r="T53" s="256">
        <f>SUM(T43:T52)</f>
        <v>0</v>
      </c>
      <c r="U53" s="256">
        <f>SUM(U43:U52)</f>
        <v>0</v>
      </c>
      <c r="V53" s="256">
        <f>SUM(V43:V52)</f>
        <v>0</v>
      </c>
    </row>
    <row r="54" spans="1:22" x14ac:dyDescent="0.3">
      <c r="A54" s="4"/>
      <c r="B54" s="4"/>
      <c r="C54" s="4"/>
      <c r="D54" s="4"/>
      <c r="E54" s="4"/>
      <c r="F54" s="4"/>
      <c r="G54" s="4"/>
      <c r="H54" s="4"/>
      <c r="I54" s="4"/>
      <c r="J54" s="4"/>
      <c r="K54" s="4"/>
      <c r="L54" s="4"/>
      <c r="M54" s="4"/>
      <c r="N54" s="4"/>
      <c r="O54" s="4"/>
      <c r="P54" s="4"/>
      <c r="Q54" s="4"/>
      <c r="R54" s="4"/>
      <c r="S54" s="4"/>
      <c r="T54" s="4"/>
      <c r="U54" s="4"/>
      <c r="V54" s="4"/>
    </row>
    <row r="55" spans="1:22" x14ac:dyDescent="0.3">
      <c r="A55" s="4"/>
      <c r="B55" s="4"/>
      <c r="C55" s="4"/>
      <c r="D55" s="4"/>
      <c r="E55" s="4"/>
      <c r="F55" s="4"/>
      <c r="G55" s="4"/>
      <c r="H55" s="4"/>
      <c r="I55" s="4"/>
      <c r="J55" s="4"/>
      <c r="K55" s="4"/>
      <c r="L55" s="4"/>
      <c r="M55" s="4"/>
      <c r="N55" s="4"/>
      <c r="O55" s="4"/>
      <c r="P55" s="4"/>
      <c r="Q55" s="4"/>
      <c r="R55" s="4"/>
      <c r="S55" s="4"/>
      <c r="T55" s="4"/>
      <c r="U55" s="4"/>
      <c r="V55" s="4"/>
    </row>
    <row r="56" spans="1:22" x14ac:dyDescent="0.3">
      <c r="A56" s="4"/>
      <c r="B56" s="4"/>
      <c r="C56" s="4"/>
      <c r="D56" s="4"/>
      <c r="E56" s="4"/>
      <c r="F56" s="4"/>
      <c r="G56" s="4"/>
      <c r="H56" s="4"/>
      <c r="I56" s="4"/>
      <c r="J56" s="4"/>
      <c r="K56" s="4"/>
      <c r="L56" s="4"/>
      <c r="M56" s="4"/>
      <c r="N56" s="4"/>
      <c r="O56" s="4"/>
      <c r="P56" s="4"/>
      <c r="Q56" s="4"/>
      <c r="R56" s="4"/>
      <c r="S56" s="4"/>
      <c r="T56" s="4"/>
      <c r="U56" s="4"/>
      <c r="V56" s="4"/>
    </row>
    <row r="57" spans="1:22" x14ac:dyDescent="0.3">
      <c r="B57" s="323"/>
      <c r="C57" s="250" t="s">
        <v>826</v>
      </c>
      <c r="D57" s="402"/>
      <c r="E57" s="403"/>
      <c r="F57" s="250" t="s">
        <v>825</v>
      </c>
      <c r="G57" s="356"/>
      <c r="I57" s="12"/>
      <c r="L57" s="93"/>
      <c r="M57" s="93"/>
      <c r="O57" s="95"/>
      <c r="P57" s="245" t="s">
        <v>792</v>
      </c>
      <c r="Q57" s="87"/>
      <c r="R57" s="3"/>
      <c r="S57" s="35"/>
      <c r="T57" s="243" t="s">
        <v>827</v>
      </c>
      <c r="U57" s="259"/>
      <c r="V57" s="255"/>
    </row>
    <row r="58" spans="1:22" ht="34.5" x14ac:dyDescent="0.3">
      <c r="A58" s="266" t="s">
        <v>135</v>
      </c>
      <c r="B58" s="335" t="s">
        <v>143</v>
      </c>
      <c r="C58" s="272" t="s">
        <v>412</v>
      </c>
      <c r="D58" s="274" t="s">
        <v>1031</v>
      </c>
      <c r="E58" s="275" t="s">
        <v>157</v>
      </c>
      <c r="F58" s="269" t="s">
        <v>1029</v>
      </c>
      <c r="G58" s="269" t="s">
        <v>1030</v>
      </c>
      <c r="H58" s="335" t="s">
        <v>413</v>
      </c>
      <c r="I58" s="335" t="s">
        <v>414</v>
      </c>
      <c r="J58" s="335" t="s">
        <v>829</v>
      </c>
      <c r="K58" s="335" t="s">
        <v>830</v>
      </c>
      <c r="L58" s="335" t="s">
        <v>795</v>
      </c>
      <c r="M58" s="335" t="s">
        <v>409</v>
      </c>
      <c r="N58" s="335" t="s">
        <v>153</v>
      </c>
      <c r="O58" s="269" t="s">
        <v>796</v>
      </c>
      <c r="P58" s="269" t="s">
        <v>159</v>
      </c>
      <c r="Q58" s="269" t="s">
        <v>160</v>
      </c>
      <c r="R58" s="257" t="s">
        <v>824</v>
      </c>
      <c r="S58" s="269" t="s">
        <v>137</v>
      </c>
      <c r="T58" s="269" t="s">
        <v>138</v>
      </c>
      <c r="U58" s="269" t="s">
        <v>161</v>
      </c>
      <c r="V58" s="278" t="s">
        <v>162</v>
      </c>
    </row>
    <row r="59" spans="1:22" ht="16.5" customHeight="1" x14ac:dyDescent="0.3">
      <c r="A59" s="282">
        <f>3</f>
        <v>3</v>
      </c>
      <c r="B59" s="38"/>
      <c r="C59" s="38"/>
      <c r="D59" s="276"/>
      <c r="E59" s="277"/>
      <c r="F59" s="38"/>
      <c r="G59" s="38"/>
      <c r="H59" s="261">
        <f t="shared" ref="H59:H68" si="28">D59*0.5</f>
        <v>0</v>
      </c>
      <c r="I59" s="260">
        <f t="shared" ref="I59:I68" si="29">(PI()*(H59*H59)*C59)/1000</f>
        <v>0</v>
      </c>
      <c r="J59" s="260">
        <f t="shared" ref="J59:J68" si="30">((PI()*(F59*0.5)*(G59*0.5)*E59)/3)/1000</f>
        <v>0</v>
      </c>
      <c r="K59" s="260">
        <f t="shared" ref="K59:K68" si="31">(((E59*F59)*G59)*0.5)/1000</f>
        <v>0</v>
      </c>
      <c r="L59" s="260" t="str">
        <f t="shared" ref="L59:L68" si="32">IFERROR(IF(VLOOKUP(B59,UdoteaInitialMetrics,2,FALSE) = "Vase-shaped", (I59+J59), IF(VLOOKUP(B59, UdoteaInitialMetrics,2,FALSE) = "Fan-shaped", (I59+K59), "")),"")</f>
        <v/>
      </c>
      <c r="M59" s="262" t="str">
        <f t="shared" ref="M59:M68" si="33">IF(B59=1,$E$11,IF(B59=2,$E$12,IF(B59=3,0,IF(B59=4,0,""))))</f>
        <v/>
      </c>
      <c r="N59" s="261" t="str">
        <f t="shared" ref="N59:N68" si="34">IF(B59=1,$H$11,IF(B59=2,$H$12,IF(B59=3,$H$13,IF(B59=4,$H$14,""))))</f>
        <v/>
      </c>
      <c r="O59" s="262" t="str">
        <f t="shared" ref="O59:O68" si="35">IFERROR((L59*M59)*N59, "")</f>
        <v/>
      </c>
      <c r="P59" s="262" t="str">
        <f t="shared" ref="P59:P68" si="36">IFERROR(O59*(1/$B$6), "")</f>
        <v/>
      </c>
      <c r="Q59" s="262" t="str">
        <f t="shared" ref="Q59:Q68" si="37">IFERROR(P59/1000,"")</f>
        <v/>
      </c>
      <c r="R59" s="258"/>
      <c r="S59" s="262" t="str">
        <f t="shared" ref="S59:S68" si="38">IF(B59=1, Q59,"")</f>
        <v/>
      </c>
      <c r="T59" s="262" t="str">
        <f t="shared" ref="T59:T68" si="39">IF(B59=2, Q59,"")</f>
        <v/>
      </c>
      <c r="U59" s="262" t="str">
        <f t="shared" ref="U59:U68" si="40">IF(B59=3, Q59,"")</f>
        <v/>
      </c>
      <c r="V59" s="264" t="str">
        <f t="shared" ref="V59:V68" si="41">IF(B59=4, Q59,"")</f>
        <v/>
      </c>
    </row>
    <row r="60" spans="1:22" x14ac:dyDescent="0.3">
      <c r="A60" s="282">
        <f>3</f>
        <v>3</v>
      </c>
      <c r="B60" s="38"/>
      <c r="C60" s="38"/>
      <c r="D60" s="276"/>
      <c r="E60" s="277"/>
      <c r="F60" s="38"/>
      <c r="G60" s="38"/>
      <c r="H60" s="261">
        <f t="shared" si="28"/>
        <v>0</v>
      </c>
      <c r="I60" s="260">
        <f t="shared" si="29"/>
        <v>0</v>
      </c>
      <c r="J60" s="260">
        <f t="shared" si="30"/>
        <v>0</v>
      </c>
      <c r="K60" s="260">
        <f t="shared" si="31"/>
        <v>0</v>
      </c>
      <c r="L60" s="260" t="str">
        <f t="shared" si="32"/>
        <v/>
      </c>
      <c r="M60" s="262" t="str">
        <f t="shared" si="33"/>
        <v/>
      </c>
      <c r="N60" s="261" t="str">
        <f t="shared" si="34"/>
        <v/>
      </c>
      <c r="O60" s="262" t="str">
        <f t="shared" si="35"/>
        <v/>
      </c>
      <c r="P60" s="262" t="str">
        <f t="shared" si="36"/>
        <v/>
      </c>
      <c r="Q60" s="262" t="str">
        <f t="shared" si="37"/>
        <v/>
      </c>
      <c r="R60" s="258"/>
      <c r="S60" s="262" t="str">
        <f t="shared" si="38"/>
        <v/>
      </c>
      <c r="T60" s="262" t="str">
        <f t="shared" si="39"/>
        <v/>
      </c>
      <c r="U60" s="262" t="str">
        <f t="shared" si="40"/>
        <v/>
      </c>
      <c r="V60" s="264" t="str">
        <f t="shared" si="41"/>
        <v/>
      </c>
    </row>
    <row r="61" spans="1:22" x14ac:dyDescent="0.3">
      <c r="A61" s="282">
        <f>3</f>
        <v>3</v>
      </c>
      <c r="B61" s="38"/>
      <c r="C61" s="38"/>
      <c r="D61" s="276"/>
      <c r="E61" s="277"/>
      <c r="F61" s="38"/>
      <c r="G61" s="38"/>
      <c r="H61" s="261">
        <f t="shared" si="28"/>
        <v>0</v>
      </c>
      <c r="I61" s="260">
        <f t="shared" si="29"/>
        <v>0</v>
      </c>
      <c r="J61" s="260">
        <f t="shared" si="30"/>
        <v>0</v>
      </c>
      <c r="K61" s="260">
        <f t="shared" si="31"/>
        <v>0</v>
      </c>
      <c r="L61" s="260" t="str">
        <f t="shared" si="32"/>
        <v/>
      </c>
      <c r="M61" s="262" t="str">
        <f t="shared" si="33"/>
        <v/>
      </c>
      <c r="N61" s="261" t="str">
        <f t="shared" si="34"/>
        <v/>
      </c>
      <c r="O61" s="262" t="str">
        <f t="shared" si="35"/>
        <v/>
      </c>
      <c r="P61" s="262" t="str">
        <f t="shared" si="36"/>
        <v/>
      </c>
      <c r="Q61" s="262" t="str">
        <f t="shared" si="37"/>
        <v/>
      </c>
      <c r="R61" s="258"/>
      <c r="S61" s="262" t="str">
        <f t="shared" si="38"/>
        <v/>
      </c>
      <c r="T61" s="262" t="str">
        <f t="shared" si="39"/>
        <v/>
      </c>
      <c r="U61" s="262" t="str">
        <f t="shared" si="40"/>
        <v/>
      </c>
      <c r="V61" s="264" t="str">
        <f t="shared" si="41"/>
        <v/>
      </c>
    </row>
    <row r="62" spans="1:22" x14ac:dyDescent="0.3">
      <c r="A62" s="282">
        <f>3</f>
        <v>3</v>
      </c>
      <c r="B62" s="38"/>
      <c r="C62" s="38"/>
      <c r="D62" s="276"/>
      <c r="E62" s="277"/>
      <c r="F62" s="38"/>
      <c r="G62" s="38"/>
      <c r="H62" s="261">
        <f t="shared" si="28"/>
        <v>0</v>
      </c>
      <c r="I62" s="260">
        <f t="shared" si="29"/>
        <v>0</v>
      </c>
      <c r="J62" s="260">
        <f t="shared" si="30"/>
        <v>0</v>
      </c>
      <c r="K62" s="260">
        <f t="shared" si="31"/>
        <v>0</v>
      </c>
      <c r="L62" s="260" t="str">
        <f t="shared" si="32"/>
        <v/>
      </c>
      <c r="M62" s="262" t="str">
        <f t="shared" si="33"/>
        <v/>
      </c>
      <c r="N62" s="261" t="str">
        <f t="shared" si="34"/>
        <v/>
      </c>
      <c r="O62" s="262" t="str">
        <f t="shared" si="35"/>
        <v/>
      </c>
      <c r="P62" s="262" t="str">
        <f t="shared" si="36"/>
        <v/>
      </c>
      <c r="Q62" s="262" t="str">
        <f t="shared" si="37"/>
        <v/>
      </c>
      <c r="R62" s="258"/>
      <c r="S62" s="262" t="str">
        <f t="shared" si="38"/>
        <v/>
      </c>
      <c r="T62" s="262" t="str">
        <f t="shared" si="39"/>
        <v/>
      </c>
      <c r="U62" s="262" t="str">
        <f t="shared" si="40"/>
        <v/>
      </c>
      <c r="V62" s="264" t="str">
        <f t="shared" si="41"/>
        <v/>
      </c>
    </row>
    <row r="63" spans="1:22" x14ac:dyDescent="0.3">
      <c r="A63" s="282">
        <f>3</f>
        <v>3</v>
      </c>
      <c r="B63" s="38"/>
      <c r="C63" s="38"/>
      <c r="D63" s="276"/>
      <c r="E63" s="277"/>
      <c r="F63" s="38"/>
      <c r="G63" s="38"/>
      <c r="H63" s="261">
        <f t="shared" si="28"/>
        <v>0</v>
      </c>
      <c r="I63" s="260">
        <f t="shared" si="29"/>
        <v>0</v>
      </c>
      <c r="J63" s="260">
        <f t="shared" si="30"/>
        <v>0</v>
      </c>
      <c r="K63" s="260">
        <f t="shared" si="31"/>
        <v>0</v>
      </c>
      <c r="L63" s="260" t="str">
        <f t="shared" si="32"/>
        <v/>
      </c>
      <c r="M63" s="262" t="str">
        <f t="shared" si="33"/>
        <v/>
      </c>
      <c r="N63" s="261" t="str">
        <f t="shared" si="34"/>
        <v/>
      </c>
      <c r="O63" s="262" t="str">
        <f t="shared" si="35"/>
        <v/>
      </c>
      <c r="P63" s="262" t="str">
        <f t="shared" si="36"/>
        <v/>
      </c>
      <c r="Q63" s="262" t="str">
        <f t="shared" si="37"/>
        <v/>
      </c>
      <c r="R63" s="258"/>
      <c r="S63" s="262" t="str">
        <f t="shared" si="38"/>
        <v/>
      </c>
      <c r="T63" s="262" t="str">
        <f t="shared" si="39"/>
        <v/>
      </c>
      <c r="U63" s="262" t="str">
        <f t="shared" si="40"/>
        <v/>
      </c>
      <c r="V63" s="264" t="str">
        <f t="shared" si="41"/>
        <v/>
      </c>
    </row>
    <row r="64" spans="1:22" x14ac:dyDescent="0.3">
      <c r="A64" s="282">
        <f>3</f>
        <v>3</v>
      </c>
      <c r="B64" s="38"/>
      <c r="C64" s="38"/>
      <c r="D64" s="276"/>
      <c r="E64" s="277"/>
      <c r="F64" s="38"/>
      <c r="G64" s="38"/>
      <c r="H64" s="261">
        <f t="shared" si="28"/>
        <v>0</v>
      </c>
      <c r="I64" s="260">
        <f t="shared" si="29"/>
        <v>0</v>
      </c>
      <c r="J64" s="260">
        <f t="shared" si="30"/>
        <v>0</v>
      </c>
      <c r="K64" s="260">
        <f t="shared" si="31"/>
        <v>0</v>
      </c>
      <c r="L64" s="260" t="str">
        <f t="shared" si="32"/>
        <v/>
      </c>
      <c r="M64" s="262" t="str">
        <f t="shared" si="33"/>
        <v/>
      </c>
      <c r="N64" s="261" t="str">
        <f t="shared" si="34"/>
        <v/>
      </c>
      <c r="O64" s="262" t="str">
        <f t="shared" si="35"/>
        <v/>
      </c>
      <c r="P64" s="262" t="str">
        <f t="shared" si="36"/>
        <v/>
      </c>
      <c r="Q64" s="262" t="str">
        <f t="shared" si="37"/>
        <v/>
      </c>
      <c r="R64" s="258"/>
      <c r="S64" s="262" t="str">
        <f t="shared" si="38"/>
        <v/>
      </c>
      <c r="T64" s="262" t="str">
        <f t="shared" si="39"/>
        <v/>
      </c>
      <c r="U64" s="262" t="str">
        <f t="shared" si="40"/>
        <v/>
      </c>
      <c r="V64" s="264" t="str">
        <f t="shared" si="41"/>
        <v/>
      </c>
    </row>
    <row r="65" spans="1:22" ht="16.5" customHeight="1" x14ac:dyDescent="0.3">
      <c r="A65" s="282">
        <f>3</f>
        <v>3</v>
      </c>
      <c r="B65" s="38"/>
      <c r="C65" s="38"/>
      <c r="D65" s="276"/>
      <c r="E65" s="277"/>
      <c r="F65" s="38"/>
      <c r="G65" s="38"/>
      <c r="H65" s="261">
        <f t="shared" si="28"/>
        <v>0</v>
      </c>
      <c r="I65" s="260">
        <f t="shared" si="29"/>
        <v>0</v>
      </c>
      <c r="J65" s="260">
        <f t="shared" si="30"/>
        <v>0</v>
      </c>
      <c r="K65" s="260">
        <f t="shared" si="31"/>
        <v>0</v>
      </c>
      <c r="L65" s="260" t="str">
        <f t="shared" si="32"/>
        <v/>
      </c>
      <c r="M65" s="262" t="str">
        <f t="shared" si="33"/>
        <v/>
      </c>
      <c r="N65" s="261" t="str">
        <f t="shared" si="34"/>
        <v/>
      </c>
      <c r="O65" s="262" t="str">
        <f t="shared" si="35"/>
        <v/>
      </c>
      <c r="P65" s="262" t="str">
        <f t="shared" si="36"/>
        <v/>
      </c>
      <c r="Q65" s="262" t="str">
        <f t="shared" si="37"/>
        <v/>
      </c>
      <c r="R65" s="258"/>
      <c r="S65" s="262" t="str">
        <f t="shared" si="38"/>
        <v/>
      </c>
      <c r="T65" s="262" t="str">
        <f t="shared" si="39"/>
        <v/>
      </c>
      <c r="U65" s="262" t="str">
        <f t="shared" si="40"/>
        <v/>
      </c>
      <c r="V65" s="264" t="str">
        <f t="shared" si="41"/>
        <v/>
      </c>
    </row>
    <row r="66" spans="1:22" x14ac:dyDescent="0.3">
      <c r="A66" s="282">
        <f>3</f>
        <v>3</v>
      </c>
      <c r="B66" s="38"/>
      <c r="C66" s="38"/>
      <c r="D66" s="276"/>
      <c r="E66" s="277"/>
      <c r="F66" s="38"/>
      <c r="G66" s="38"/>
      <c r="H66" s="261">
        <f t="shared" si="28"/>
        <v>0</v>
      </c>
      <c r="I66" s="260">
        <f t="shared" si="29"/>
        <v>0</v>
      </c>
      <c r="J66" s="260">
        <f t="shared" si="30"/>
        <v>0</v>
      </c>
      <c r="K66" s="260">
        <f t="shared" si="31"/>
        <v>0</v>
      </c>
      <c r="L66" s="260" t="str">
        <f t="shared" si="32"/>
        <v/>
      </c>
      <c r="M66" s="262" t="str">
        <f t="shared" si="33"/>
        <v/>
      </c>
      <c r="N66" s="261" t="str">
        <f t="shared" si="34"/>
        <v/>
      </c>
      <c r="O66" s="262" t="str">
        <f t="shared" si="35"/>
        <v/>
      </c>
      <c r="P66" s="262" t="str">
        <f t="shared" si="36"/>
        <v/>
      </c>
      <c r="Q66" s="262" t="str">
        <f t="shared" si="37"/>
        <v/>
      </c>
      <c r="R66" s="258"/>
      <c r="S66" s="262" t="str">
        <f t="shared" si="38"/>
        <v/>
      </c>
      <c r="T66" s="262" t="str">
        <f t="shared" si="39"/>
        <v/>
      </c>
      <c r="U66" s="262" t="str">
        <f t="shared" si="40"/>
        <v/>
      </c>
      <c r="V66" s="264" t="str">
        <f t="shared" si="41"/>
        <v/>
      </c>
    </row>
    <row r="67" spans="1:22" x14ac:dyDescent="0.3">
      <c r="A67" s="282">
        <f>3</f>
        <v>3</v>
      </c>
      <c r="B67" s="38"/>
      <c r="C67" s="38"/>
      <c r="D67" s="276"/>
      <c r="E67" s="277"/>
      <c r="F67" s="38"/>
      <c r="G67" s="38"/>
      <c r="H67" s="261">
        <f t="shared" si="28"/>
        <v>0</v>
      </c>
      <c r="I67" s="260">
        <f t="shared" si="29"/>
        <v>0</v>
      </c>
      <c r="J67" s="260">
        <f t="shared" si="30"/>
        <v>0</v>
      </c>
      <c r="K67" s="260">
        <f t="shared" si="31"/>
        <v>0</v>
      </c>
      <c r="L67" s="260" t="str">
        <f t="shared" si="32"/>
        <v/>
      </c>
      <c r="M67" s="262" t="str">
        <f t="shared" si="33"/>
        <v/>
      </c>
      <c r="N67" s="261" t="str">
        <f t="shared" si="34"/>
        <v/>
      </c>
      <c r="O67" s="262" t="str">
        <f t="shared" si="35"/>
        <v/>
      </c>
      <c r="P67" s="262" t="str">
        <f t="shared" si="36"/>
        <v/>
      </c>
      <c r="Q67" s="262" t="str">
        <f t="shared" si="37"/>
        <v/>
      </c>
      <c r="R67" s="258"/>
      <c r="S67" s="262" t="str">
        <f t="shared" si="38"/>
        <v/>
      </c>
      <c r="T67" s="262" t="str">
        <f t="shared" si="39"/>
        <v/>
      </c>
      <c r="U67" s="262" t="str">
        <f t="shared" si="40"/>
        <v/>
      </c>
      <c r="V67" s="264" t="str">
        <f t="shared" si="41"/>
        <v/>
      </c>
    </row>
    <row r="68" spans="1:22" x14ac:dyDescent="0.3">
      <c r="A68" s="282">
        <f>3</f>
        <v>3</v>
      </c>
      <c r="B68" s="38"/>
      <c r="C68" s="38"/>
      <c r="D68" s="276"/>
      <c r="E68" s="277"/>
      <c r="F68" s="38"/>
      <c r="G68" s="38"/>
      <c r="H68" s="261">
        <f t="shared" si="28"/>
        <v>0</v>
      </c>
      <c r="I68" s="260">
        <f t="shared" si="29"/>
        <v>0</v>
      </c>
      <c r="J68" s="260">
        <f t="shared" si="30"/>
        <v>0</v>
      </c>
      <c r="K68" s="260">
        <f t="shared" si="31"/>
        <v>0</v>
      </c>
      <c r="L68" s="260" t="str">
        <f t="shared" si="32"/>
        <v/>
      </c>
      <c r="M68" s="262" t="str">
        <f t="shared" si="33"/>
        <v/>
      </c>
      <c r="N68" s="261" t="str">
        <f t="shared" si="34"/>
        <v/>
      </c>
      <c r="O68" s="262" t="str">
        <f t="shared" si="35"/>
        <v/>
      </c>
      <c r="P68" s="262" t="str">
        <f t="shared" si="36"/>
        <v/>
      </c>
      <c r="Q68" s="262" t="str">
        <f t="shared" si="37"/>
        <v/>
      </c>
      <c r="R68" s="258"/>
      <c r="S68" s="262" t="str">
        <f t="shared" si="38"/>
        <v/>
      </c>
      <c r="T68" s="262" t="str">
        <f t="shared" si="39"/>
        <v/>
      </c>
      <c r="U68" s="262" t="str">
        <f t="shared" si="40"/>
        <v/>
      </c>
      <c r="V68" s="264" t="str">
        <f t="shared" si="41"/>
        <v/>
      </c>
    </row>
    <row r="69" spans="1:22" x14ac:dyDescent="0.3">
      <c r="B69" s="4" t="s">
        <v>139</v>
      </c>
      <c r="C69" s="4"/>
      <c r="D69" s="4"/>
      <c r="E69" s="253">
        <f>COUNT(B59:B68)</f>
        <v>0</v>
      </c>
      <c r="F69" s="28"/>
      <c r="G69" s="28"/>
      <c r="H69" s="28"/>
      <c r="I69" s="72"/>
      <c r="J69" s="72"/>
      <c r="K69" s="36"/>
      <c r="L69" s="93"/>
      <c r="M69" s="93"/>
      <c r="N69" s="12"/>
      <c r="O69" s="12"/>
      <c r="P69" s="254">
        <f>SUM(P59:P68)</f>
        <v>0</v>
      </c>
      <c r="Q69" s="254">
        <f>SUM(Q59:Q68)</f>
        <v>0</v>
      </c>
      <c r="S69" s="254">
        <f>SUM(S59:S68)</f>
        <v>0</v>
      </c>
      <c r="T69" s="256">
        <f>SUM(T59:T68)</f>
        <v>0</v>
      </c>
      <c r="U69" s="256">
        <f>SUM(U59:U68)</f>
        <v>0</v>
      </c>
      <c r="V69" s="256">
        <f>SUM(V59:V68)</f>
        <v>0</v>
      </c>
    </row>
    <row r="70" spans="1:22" x14ac:dyDescent="0.3">
      <c r="S70" s="93"/>
    </row>
    <row r="71" spans="1:22" x14ac:dyDescent="0.3">
      <c r="A71" s="4"/>
      <c r="B71" s="4"/>
      <c r="C71" s="4"/>
      <c r="D71" s="4"/>
      <c r="E71" s="4"/>
      <c r="F71" s="4"/>
      <c r="G71" s="4"/>
      <c r="H71" s="4"/>
      <c r="I71" s="4"/>
      <c r="J71" s="4"/>
      <c r="K71" s="4"/>
      <c r="L71" s="4"/>
      <c r="M71" s="4"/>
      <c r="N71" s="4"/>
      <c r="O71" s="4"/>
      <c r="P71" s="4"/>
      <c r="Q71" s="4"/>
      <c r="R71" s="4"/>
      <c r="S71" s="4"/>
      <c r="T71" s="4"/>
      <c r="U71" s="4"/>
      <c r="V71" s="4"/>
    </row>
    <row r="72" spans="1:22" ht="16.5" customHeight="1" x14ac:dyDescent="0.3">
      <c r="A72" s="4"/>
      <c r="B72" s="4"/>
      <c r="C72" s="4"/>
      <c r="D72" s="4"/>
      <c r="E72" s="4"/>
      <c r="F72" s="4"/>
      <c r="G72" s="4"/>
      <c r="H72" s="4"/>
      <c r="I72" s="4"/>
      <c r="J72" s="4"/>
      <c r="K72" s="4"/>
      <c r="L72" s="4"/>
      <c r="M72" s="4"/>
      <c r="N72" s="4"/>
      <c r="O72" s="4"/>
      <c r="P72" s="4"/>
      <c r="Q72" s="4"/>
      <c r="R72" s="4"/>
      <c r="S72" s="4"/>
      <c r="T72" s="4"/>
      <c r="U72" s="4"/>
      <c r="V72" s="4"/>
    </row>
    <row r="73" spans="1:22" x14ac:dyDescent="0.3">
      <c r="B73" s="323"/>
      <c r="C73" s="250" t="s">
        <v>826</v>
      </c>
      <c r="D73" s="402"/>
      <c r="E73" s="403"/>
      <c r="F73" s="250" t="s">
        <v>825</v>
      </c>
      <c r="G73" s="356"/>
      <c r="I73" s="12"/>
      <c r="L73" s="93"/>
      <c r="M73" s="93"/>
      <c r="O73" s="95"/>
      <c r="P73" s="245" t="s">
        <v>792</v>
      </c>
      <c r="Q73" s="87"/>
      <c r="R73" s="3"/>
      <c r="S73" s="35"/>
      <c r="T73" s="243" t="s">
        <v>827</v>
      </c>
      <c r="U73" s="259"/>
      <c r="V73" s="255"/>
    </row>
    <row r="74" spans="1:22" ht="34.5" x14ac:dyDescent="0.3">
      <c r="A74" s="266" t="s">
        <v>135</v>
      </c>
      <c r="B74" s="335" t="s">
        <v>143</v>
      </c>
      <c r="C74" s="272" t="s">
        <v>412</v>
      </c>
      <c r="D74" s="274" t="s">
        <v>1031</v>
      </c>
      <c r="E74" s="275" t="s">
        <v>157</v>
      </c>
      <c r="F74" s="269" t="s">
        <v>1029</v>
      </c>
      <c r="G74" s="269" t="s">
        <v>1030</v>
      </c>
      <c r="H74" s="335" t="s">
        <v>413</v>
      </c>
      <c r="I74" s="335" t="s">
        <v>414</v>
      </c>
      <c r="J74" s="335" t="s">
        <v>829</v>
      </c>
      <c r="K74" s="335" t="s">
        <v>830</v>
      </c>
      <c r="L74" s="335" t="s">
        <v>795</v>
      </c>
      <c r="M74" s="335" t="s">
        <v>409</v>
      </c>
      <c r="N74" s="335" t="s">
        <v>153</v>
      </c>
      <c r="O74" s="269" t="s">
        <v>796</v>
      </c>
      <c r="P74" s="269" t="s">
        <v>159</v>
      </c>
      <c r="Q74" s="269" t="s">
        <v>160</v>
      </c>
      <c r="R74" s="257" t="s">
        <v>824</v>
      </c>
      <c r="S74" s="269" t="s">
        <v>137</v>
      </c>
      <c r="T74" s="269" t="s">
        <v>138</v>
      </c>
      <c r="U74" s="269" t="s">
        <v>161</v>
      </c>
      <c r="V74" s="278" t="s">
        <v>162</v>
      </c>
    </row>
    <row r="75" spans="1:22" x14ac:dyDescent="0.3">
      <c r="A75" s="282">
        <f>4</f>
        <v>4</v>
      </c>
      <c r="B75" s="38"/>
      <c r="C75" s="38"/>
      <c r="D75" s="276"/>
      <c r="E75" s="277"/>
      <c r="F75" s="38"/>
      <c r="G75" s="38"/>
      <c r="H75" s="261">
        <f t="shared" ref="H75:H84" si="42">D75*0.5</f>
        <v>0</v>
      </c>
      <c r="I75" s="260">
        <f t="shared" ref="I75:I84" si="43">(PI()*(H75*H75)*C75)/1000</f>
        <v>0</v>
      </c>
      <c r="J75" s="260">
        <f t="shared" ref="J75:J84" si="44">((PI()*(F75*0.5)*(G75*0.5)*E75)/3)/1000</f>
        <v>0</v>
      </c>
      <c r="K75" s="260">
        <f t="shared" ref="K75:K84" si="45">(((E75*F75)*G75)*0.5)/1000</f>
        <v>0</v>
      </c>
      <c r="L75" s="260" t="str">
        <f t="shared" ref="L75:L84" si="46">IFERROR(IF(VLOOKUP(B75,UdoteaInitialMetrics,2,FALSE) = "Vase-shaped", (I75+J75), IF(VLOOKUP(B75, UdoteaInitialMetrics,2,FALSE) = "Fan-shaped", (I75+K75), "")),"")</f>
        <v/>
      </c>
      <c r="M75" s="262" t="str">
        <f t="shared" ref="M75:M84" si="47">IF(B75=1,$E$11,IF(B75=2,$E$12,IF(B75=3,0,IF(B75=4,0,""))))</f>
        <v/>
      </c>
      <c r="N75" s="261" t="str">
        <f t="shared" ref="N75:N84" si="48">IF(B75=1,$H$11,IF(B75=2,$H$12,IF(B75=3,$H$13,IF(B75=4,$H$14,""))))</f>
        <v/>
      </c>
      <c r="O75" s="262" t="str">
        <f t="shared" ref="O75:O84" si="49">IFERROR((L75*M75)*N75, "")</f>
        <v/>
      </c>
      <c r="P75" s="262" t="str">
        <f t="shared" ref="P75:P84" si="50">IFERROR(O75*(1/$B$6), "")</f>
        <v/>
      </c>
      <c r="Q75" s="262" t="str">
        <f t="shared" ref="Q75:Q84" si="51">IFERROR(P75/1000,"")</f>
        <v/>
      </c>
      <c r="R75" s="258"/>
      <c r="S75" s="262" t="str">
        <f t="shared" ref="S75:S84" si="52">IF(B75=1, Q75,"")</f>
        <v/>
      </c>
      <c r="T75" s="262" t="str">
        <f t="shared" ref="T75:T84" si="53">IF(B75=2, Q75,"")</f>
        <v/>
      </c>
      <c r="U75" s="262" t="str">
        <f t="shared" ref="U75:U84" si="54">IF(B75=3, Q75,"")</f>
        <v/>
      </c>
      <c r="V75" s="264" t="str">
        <f t="shared" ref="V75:V84" si="55">IF(B75=4, Q75,"")</f>
        <v/>
      </c>
    </row>
    <row r="76" spans="1:22" x14ac:dyDescent="0.3">
      <c r="A76" s="282">
        <f>4</f>
        <v>4</v>
      </c>
      <c r="B76" s="38"/>
      <c r="C76" s="38"/>
      <c r="D76" s="276"/>
      <c r="E76" s="277"/>
      <c r="F76" s="38"/>
      <c r="G76" s="38"/>
      <c r="H76" s="261">
        <f t="shared" si="42"/>
        <v>0</v>
      </c>
      <c r="I76" s="260">
        <f t="shared" si="43"/>
        <v>0</v>
      </c>
      <c r="J76" s="260">
        <f t="shared" si="44"/>
        <v>0</v>
      </c>
      <c r="K76" s="260">
        <f t="shared" si="45"/>
        <v>0</v>
      </c>
      <c r="L76" s="260" t="str">
        <f t="shared" si="46"/>
        <v/>
      </c>
      <c r="M76" s="262" t="str">
        <f t="shared" si="47"/>
        <v/>
      </c>
      <c r="N76" s="261" t="str">
        <f t="shared" si="48"/>
        <v/>
      </c>
      <c r="O76" s="262" t="str">
        <f t="shared" si="49"/>
        <v/>
      </c>
      <c r="P76" s="262" t="str">
        <f t="shared" si="50"/>
        <v/>
      </c>
      <c r="Q76" s="262" t="str">
        <f t="shared" si="51"/>
        <v/>
      </c>
      <c r="R76" s="258"/>
      <c r="S76" s="262" t="str">
        <f t="shared" si="52"/>
        <v/>
      </c>
      <c r="T76" s="262" t="str">
        <f t="shared" si="53"/>
        <v/>
      </c>
      <c r="U76" s="262" t="str">
        <f t="shared" si="54"/>
        <v/>
      </c>
      <c r="V76" s="264" t="str">
        <f t="shared" si="55"/>
        <v/>
      </c>
    </row>
    <row r="77" spans="1:22" x14ac:dyDescent="0.3">
      <c r="A77" s="282">
        <f>4</f>
        <v>4</v>
      </c>
      <c r="B77" s="38"/>
      <c r="C77" s="38"/>
      <c r="D77" s="276"/>
      <c r="E77" s="277"/>
      <c r="F77" s="38"/>
      <c r="G77" s="38"/>
      <c r="H77" s="261">
        <f t="shared" si="42"/>
        <v>0</v>
      </c>
      <c r="I77" s="260">
        <f t="shared" si="43"/>
        <v>0</v>
      </c>
      <c r="J77" s="260">
        <f t="shared" si="44"/>
        <v>0</v>
      </c>
      <c r="K77" s="260">
        <f t="shared" si="45"/>
        <v>0</v>
      </c>
      <c r="L77" s="260" t="str">
        <f t="shared" si="46"/>
        <v/>
      </c>
      <c r="M77" s="262" t="str">
        <f t="shared" si="47"/>
        <v/>
      </c>
      <c r="N77" s="261" t="str">
        <f t="shared" si="48"/>
        <v/>
      </c>
      <c r="O77" s="262" t="str">
        <f t="shared" si="49"/>
        <v/>
      </c>
      <c r="P77" s="262" t="str">
        <f t="shared" si="50"/>
        <v/>
      </c>
      <c r="Q77" s="262" t="str">
        <f t="shared" si="51"/>
        <v/>
      </c>
      <c r="R77" s="258"/>
      <c r="S77" s="262" t="str">
        <f t="shared" si="52"/>
        <v/>
      </c>
      <c r="T77" s="262" t="str">
        <f t="shared" si="53"/>
        <v/>
      </c>
      <c r="U77" s="262" t="str">
        <f t="shared" si="54"/>
        <v/>
      </c>
      <c r="V77" s="264" t="str">
        <f t="shared" si="55"/>
        <v/>
      </c>
    </row>
    <row r="78" spans="1:22" ht="16.5" customHeight="1" x14ac:dyDescent="0.3">
      <c r="A78" s="282">
        <f>4</f>
        <v>4</v>
      </c>
      <c r="B78" s="38"/>
      <c r="C78" s="38"/>
      <c r="D78" s="276"/>
      <c r="E78" s="277"/>
      <c r="F78" s="38"/>
      <c r="G78" s="38"/>
      <c r="H78" s="261">
        <f t="shared" si="42"/>
        <v>0</v>
      </c>
      <c r="I78" s="260">
        <f t="shared" si="43"/>
        <v>0</v>
      </c>
      <c r="J78" s="260">
        <f t="shared" si="44"/>
        <v>0</v>
      </c>
      <c r="K78" s="260">
        <f t="shared" si="45"/>
        <v>0</v>
      </c>
      <c r="L78" s="260" t="str">
        <f t="shared" si="46"/>
        <v/>
      </c>
      <c r="M78" s="262" t="str">
        <f t="shared" si="47"/>
        <v/>
      </c>
      <c r="N78" s="261" t="str">
        <f t="shared" si="48"/>
        <v/>
      </c>
      <c r="O78" s="262" t="str">
        <f t="shared" si="49"/>
        <v/>
      </c>
      <c r="P78" s="262" t="str">
        <f t="shared" si="50"/>
        <v/>
      </c>
      <c r="Q78" s="262" t="str">
        <f t="shared" si="51"/>
        <v/>
      </c>
      <c r="R78" s="258"/>
      <c r="S78" s="262" t="str">
        <f t="shared" si="52"/>
        <v/>
      </c>
      <c r="T78" s="262" t="str">
        <f t="shared" si="53"/>
        <v/>
      </c>
      <c r="U78" s="262" t="str">
        <f t="shared" si="54"/>
        <v/>
      </c>
      <c r="V78" s="264" t="str">
        <f t="shared" si="55"/>
        <v/>
      </c>
    </row>
    <row r="79" spans="1:22" x14ac:dyDescent="0.3">
      <c r="A79" s="282">
        <f>4</f>
        <v>4</v>
      </c>
      <c r="B79" s="38"/>
      <c r="C79" s="38"/>
      <c r="D79" s="276"/>
      <c r="E79" s="277"/>
      <c r="F79" s="38"/>
      <c r="G79" s="38"/>
      <c r="H79" s="261">
        <f t="shared" si="42"/>
        <v>0</v>
      </c>
      <c r="I79" s="260">
        <f t="shared" si="43"/>
        <v>0</v>
      </c>
      <c r="J79" s="260">
        <f t="shared" si="44"/>
        <v>0</v>
      </c>
      <c r="K79" s="260">
        <f t="shared" si="45"/>
        <v>0</v>
      </c>
      <c r="L79" s="260" t="str">
        <f t="shared" si="46"/>
        <v/>
      </c>
      <c r="M79" s="262" t="str">
        <f t="shared" si="47"/>
        <v/>
      </c>
      <c r="N79" s="261" t="str">
        <f t="shared" si="48"/>
        <v/>
      </c>
      <c r="O79" s="262" t="str">
        <f t="shared" si="49"/>
        <v/>
      </c>
      <c r="P79" s="262" t="str">
        <f t="shared" si="50"/>
        <v/>
      </c>
      <c r="Q79" s="262" t="str">
        <f t="shared" si="51"/>
        <v/>
      </c>
      <c r="R79" s="258"/>
      <c r="S79" s="262" t="str">
        <f t="shared" si="52"/>
        <v/>
      </c>
      <c r="T79" s="262" t="str">
        <f t="shared" si="53"/>
        <v/>
      </c>
      <c r="U79" s="262" t="str">
        <f t="shared" si="54"/>
        <v/>
      </c>
      <c r="V79" s="264" t="str">
        <f t="shared" si="55"/>
        <v/>
      </c>
    </row>
    <row r="80" spans="1:22" x14ac:dyDescent="0.3">
      <c r="A80" s="282">
        <f>4</f>
        <v>4</v>
      </c>
      <c r="B80" s="38"/>
      <c r="C80" s="38"/>
      <c r="D80" s="276"/>
      <c r="E80" s="277"/>
      <c r="F80" s="38"/>
      <c r="G80" s="38"/>
      <c r="H80" s="261">
        <f t="shared" si="42"/>
        <v>0</v>
      </c>
      <c r="I80" s="260">
        <f t="shared" si="43"/>
        <v>0</v>
      </c>
      <c r="J80" s="260">
        <f t="shared" si="44"/>
        <v>0</v>
      </c>
      <c r="K80" s="260">
        <f t="shared" si="45"/>
        <v>0</v>
      </c>
      <c r="L80" s="260" t="str">
        <f t="shared" si="46"/>
        <v/>
      </c>
      <c r="M80" s="262" t="str">
        <f t="shared" si="47"/>
        <v/>
      </c>
      <c r="N80" s="261" t="str">
        <f t="shared" si="48"/>
        <v/>
      </c>
      <c r="O80" s="262" t="str">
        <f t="shared" si="49"/>
        <v/>
      </c>
      <c r="P80" s="262" t="str">
        <f t="shared" si="50"/>
        <v/>
      </c>
      <c r="Q80" s="262" t="str">
        <f t="shared" si="51"/>
        <v/>
      </c>
      <c r="R80" s="258"/>
      <c r="S80" s="262" t="str">
        <f t="shared" si="52"/>
        <v/>
      </c>
      <c r="T80" s="262" t="str">
        <f t="shared" si="53"/>
        <v/>
      </c>
      <c r="U80" s="262" t="str">
        <f t="shared" si="54"/>
        <v/>
      </c>
      <c r="V80" s="264" t="str">
        <f t="shared" si="55"/>
        <v/>
      </c>
    </row>
    <row r="81" spans="1:22" x14ac:dyDescent="0.3">
      <c r="A81" s="282">
        <f>4</f>
        <v>4</v>
      </c>
      <c r="B81" s="38"/>
      <c r="C81" s="38"/>
      <c r="D81" s="276"/>
      <c r="E81" s="277"/>
      <c r="F81" s="38"/>
      <c r="G81" s="38"/>
      <c r="H81" s="261">
        <f t="shared" si="42"/>
        <v>0</v>
      </c>
      <c r="I81" s="260">
        <f t="shared" si="43"/>
        <v>0</v>
      </c>
      <c r="J81" s="260">
        <f t="shared" si="44"/>
        <v>0</v>
      </c>
      <c r="K81" s="260">
        <f t="shared" si="45"/>
        <v>0</v>
      </c>
      <c r="L81" s="260" t="str">
        <f t="shared" si="46"/>
        <v/>
      </c>
      <c r="M81" s="262" t="str">
        <f t="shared" si="47"/>
        <v/>
      </c>
      <c r="N81" s="261" t="str">
        <f t="shared" si="48"/>
        <v/>
      </c>
      <c r="O81" s="262" t="str">
        <f t="shared" si="49"/>
        <v/>
      </c>
      <c r="P81" s="262" t="str">
        <f t="shared" si="50"/>
        <v/>
      </c>
      <c r="Q81" s="262" t="str">
        <f t="shared" si="51"/>
        <v/>
      </c>
      <c r="R81" s="258"/>
      <c r="S81" s="262" t="str">
        <f t="shared" si="52"/>
        <v/>
      </c>
      <c r="T81" s="262" t="str">
        <f t="shared" si="53"/>
        <v/>
      </c>
      <c r="U81" s="262" t="str">
        <f t="shared" si="54"/>
        <v/>
      </c>
      <c r="V81" s="264" t="str">
        <f t="shared" si="55"/>
        <v/>
      </c>
    </row>
    <row r="82" spans="1:22" x14ac:dyDescent="0.3">
      <c r="A82" s="282">
        <f>4</f>
        <v>4</v>
      </c>
      <c r="B82" s="38"/>
      <c r="C82" s="38"/>
      <c r="D82" s="276"/>
      <c r="E82" s="277"/>
      <c r="F82" s="38"/>
      <c r="G82" s="38"/>
      <c r="H82" s="261">
        <f t="shared" si="42"/>
        <v>0</v>
      </c>
      <c r="I82" s="260">
        <f t="shared" si="43"/>
        <v>0</v>
      </c>
      <c r="J82" s="260">
        <f t="shared" si="44"/>
        <v>0</v>
      </c>
      <c r="K82" s="260">
        <f t="shared" si="45"/>
        <v>0</v>
      </c>
      <c r="L82" s="260" t="str">
        <f t="shared" si="46"/>
        <v/>
      </c>
      <c r="M82" s="262" t="str">
        <f t="shared" si="47"/>
        <v/>
      </c>
      <c r="N82" s="261" t="str">
        <f t="shared" si="48"/>
        <v/>
      </c>
      <c r="O82" s="262" t="str">
        <f t="shared" si="49"/>
        <v/>
      </c>
      <c r="P82" s="262" t="str">
        <f t="shared" si="50"/>
        <v/>
      </c>
      <c r="Q82" s="262" t="str">
        <f t="shared" si="51"/>
        <v/>
      </c>
      <c r="R82" s="258"/>
      <c r="S82" s="262" t="str">
        <f t="shared" si="52"/>
        <v/>
      </c>
      <c r="T82" s="262" t="str">
        <f t="shared" si="53"/>
        <v/>
      </c>
      <c r="U82" s="262" t="str">
        <f t="shared" si="54"/>
        <v/>
      </c>
      <c r="V82" s="264" t="str">
        <f t="shared" si="55"/>
        <v/>
      </c>
    </row>
    <row r="83" spans="1:22" x14ac:dyDescent="0.3">
      <c r="A83" s="282">
        <f>4</f>
        <v>4</v>
      </c>
      <c r="B83" s="38"/>
      <c r="C83" s="38"/>
      <c r="D83" s="276"/>
      <c r="E83" s="277"/>
      <c r="F83" s="38"/>
      <c r="G83" s="38"/>
      <c r="H83" s="261">
        <f t="shared" si="42"/>
        <v>0</v>
      </c>
      <c r="I83" s="260">
        <f t="shared" si="43"/>
        <v>0</v>
      </c>
      <c r="J83" s="260">
        <f t="shared" si="44"/>
        <v>0</v>
      </c>
      <c r="K83" s="260">
        <f t="shared" si="45"/>
        <v>0</v>
      </c>
      <c r="L83" s="260" t="str">
        <f t="shared" si="46"/>
        <v/>
      </c>
      <c r="M83" s="262" t="str">
        <f t="shared" si="47"/>
        <v/>
      </c>
      <c r="N83" s="261" t="str">
        <f t="shared" si="48"/>
        <v/>
      </c>
      <c r="O83" s="262" t="str">
        <f t="shared" si="49"/>
        <v/>
      </c>
      <c r="P83" s="262" t="str">
        <f t="shared" si="50"/>
        <v/>
      </c>
      <c r="Q83" s="262" t="str">
        <f t="shared" si="51"/>
        <v/>
      </c>
      <c r="R83" s="258"/>
      <c r="S83" s="262" t="str">
        <f t="shared" si="52"/>
        <v/>
      </c>
      <c r="T83" s="262" t="str">
        <f t="shared" si="53"/>
        <v/>
      </c>
      <c r="U83" s="262" t="str">
        <f t="shared" si="54"/>
        <v/>
      </c>
      <c r="V83" s="264" t="str">
        <f t="shared" si="55"/>
        <v/>
      </c>
    </row>
    <row r="84" spans="1:22" x14ac:dyDescent="0.3">
      <c r="A84" s="282">
        <f>4</f>
        <v>4</v>
      </c>
      <c r="B84" s="38"/>
      <c r="C84" s="38"/>
      <c r="D84" s="276"/>
      <c r="E84" s="277"/>
      <c r="F84" s="38"/>
      <c r="G84" s="38"/>
      <c r="H84" s="261">
        <f t="shared" si="42"/>
        <v>0</v>
      </c>
      <c r="I84" s="260">
        <f t="shared" si="43"/>
        <v>0</v>
      </c>
      <c r="J84" s="260">
        <f t="shared" si="44"/>
        <v>0</v>
      </c>
      <c r="K84" s="260">
        <f t="shared" si="45"/>
        <v>0</v>
      </c>
      <c r="L84" s="260" t="str">
        <f t="shared" si="46"/>
        <v/>
      </c>
      <c r="M84" s="262" t="str">
        <f t="shared" si="47"/>
        <v/>
      </c>
      <c r="N84" s="261" t="str">
        <f t="shared" si="48"/>
        <v/>
      </c>
      <c r="O84" s="262" t="str">
        <f t="shared" si="49"/>
        <v/>
      </c>
      <c r="P84" s="262" t="str">
        <f t="shared" si="50"/>
        <v/>
      </c>
      <c r="Q84" s="262" t="str">
        <f t="shared" si="51"/>
        <v/>
      </c>
      <c r="R84" s="258"/>
      <c r="S84" s="262" t="str">
        <f t="shared" si="52"/>
        <v/>
      </c>
      <c r="T84" s="262" t="str">
        <f t="shared" si="53"/>
        <v/>
      </c>
      <c r="U84" s="262" t="str">
        <f t="shared" si="54"/>
        <v/>
      </c>
      <c r="V84" s="264" t="str">
        <f t="shared" si="55"/>
        <v/>
      </c>
    </row>
    <row r="85" spans="1:22" ht="16.5" customHeight="1" x14ac:dyDescent="0.3">
      <c r="B85" s="4" t="s">
        <v>139</v>
      </c>
      <c r="C85" s="4"/>
      <c r="D85" s="4"/>
      <c r="E85" s="253">
        <f>COUNT(B75:B84)</f>
        <v>0</v>
      </c>
      <c r="F85" s="28"/>
      <c r="G85" s="28"/>
      <c r="H85" s="28"/>
      <c r="I85" s="72"/>
      <c r="J85" s="72"/>
      <c r="K85" s="36"/>
      <c r="L85" s="93"/>
      <c r="M85" s="93"/>
      <c r="N85" s="12"/>
      <c r="O85" s="12"/>
      <c r="P85" s="254">
        <f>SUM(P75:P84)</f>
        <v>0</v>
      </c>
      <c r="Q85" s="254">
        <f>SUM(Q75:Q84)</f>
        <v>0</v>
      </c>
      <c r="S85" s="254">
        <f>SUM(S75:S84)</f>
        <v>0</v>
      </c>
      <c r="T85" s="256">
        <f>SUM(T75:T84)</f>
        <v>0</v>
      </c>
      <c r="U85" s="256">
        <f>SUM(U75:U84)</f>
        <v>0</v>
      </c>
      <c r="V85" s="256">
        <f>SUM(V75:V84)</f>
        <v>0</v>
      </c>
    </row>
    <row r="86" spans="1:22" x14ac:dyDescent="0.3">
      <c r="S86" s="93"/>
    </row>
    <row r="87" spans="1:22" x14ac:dyDescent="0.3">
      <c r="A87" s="4"/>
      <c r="B87" s="4"/>
      <c r="C87" s="4"/>
      <c r="D87" s="4"/>
      <c r="E87" s="4"/>
      <c r="F87" s="4"/>
      <c r="G87" s="4"/>
      <c r="H87" s="4"/>
      <c r="I87" s="4"/>
      <c r="J87" s="4"/>
      <c r="K87" s="4"/>
      <c r="L87" s="4"/>
      <c r="M87" s="4"/>
      <c r="N87" s="4"/>
      <c r="O87" s="4"/>
      <c r="P87" s="4"/>
      <c r="Q87" s="4"/>
      <c r="R87" s="4"/>
      <c r="S87" s="4"/>
      <c r="T87" s="4"/>
      <c r="U87" s="4"/>
      <c r="V87" s="4"/>
    </row>
    <row r="88" spans="1:22" x14ac:dyDescent="0.3">
      <c r="A88" s="4"/>
      <c r="B88" s="4"/>
      <c r="C88" s="4"/>
      <c r="D88" s="4"/>
      <c r="E88" s="4"/>
      <c r="F88" s="4"/>
      <c r="G88" s="4"/>
      <c r="H88" s="4"/>
      <c r="I88" s="4"/>
      <c r="J88" s="4"/>
      <c r="K88" s="4"/>
      <c r="L88" s="4"/>
      <c r="M88" s="4"/>
      <c r="N88" s="4"/>
      <c r="O88" s="4"/>
      <c r="P88" s="4"/>
      <c r="Q88" s="4"/>
      <c r="R88" s="4"/>
      <c r="S88" s="4"/>
      <c r="T88" s="4"/>
      <c r="U88" s="4"/>
      <c r="V88" s="4"/>
    </row>
    <row r="89" spans="1:22" x14ac:dyDescent="0.3">
      <c r="B89" s="323"/>
      <c r="C89" s="250" t="s">
        <v>826</v>
      </c>
      <c r="D89" s="402"/>
      <c r="E89" s="403"/>
      <c r="F89" s="250" t="s">
        <v>825</v>
      </c>
      <c r="G89" s="356"/>
      <c r="I89" s="12"/>
      <c r="L89" s="93"/>
      <c r="M89" s="93"/>
      <c r="O89" s="95"/>
      <c r="P89" s="245" t="s">
        <v>792</v>
      </c>
      <c r="Q89" s="87"/>
      <c r="R89" s="3"/>
      <c r="S89" s="35"/>
      <c r="T89" s="243" t="s">
        <v>827</v>
      </c>
      <c r="U89" s="259"/>
      <c r="V89" s="255"/>
    </row>
    <row r="90" spans="1:22" ht="34.5" x14ac:dyDescent="0.3">
      <c r="A90" s="266" t="s">
        <v>135</v>
      </c>
      <c r="B90" s="335" t="s">
        <v>143</v>
      </c>
      <c r="C90" s="272" t="s">
        <v>412</v>
      </c>
      <c r="D90" s="274" t="s">
        <v>1031</v>
      </c>
      <c r="E90" s="275" t="s">
        <v>157</v>
      </c>
      <c r="F90" s="269" t="s">
        <v>1029</v>
      </c>
      <c r="G90" s="269" t="s">
        <v>1030</v>
      </c>
      <c r="H90" s="335" t="s">
        <v>413</v>
      </c>
      <c r="I90" s="335" t="s">
        <v>414</v>
      </c>
      <c r="J90" s="335" t="s">
        <v>829</v>
      </c>
      <c r="K90" s="335" t="s">
        <v>830</v>
      </c>
      <c r="L90" s="335" t="s">
        <v>795</v>
      </c>
      <c r="M90" s="335" t="s">
        <v>831</v>
      </c>
      <c r="N90" s="335" t="s">
        <v>153</v>
      </c>
      <c r="O90" s="269" t="s">
        <v>796</v>
      </c>
      <c r="P90" s="269" t="s">
        <v>159</v>
      </c>
      <c r="Q90" s="269" t="s">
        <v>160</v>
      </c>
      <c r="R90" s="257" t="s">
        <v>824</v>
      </c>
      <c r="S90" s="269" t="s">
        <v>137</v>
      </c>
      <c r="T90" s="269" t="s">
        <v>138</v>
      </c>
      <c r="U90" s="269" t="s">
        <v>161</v>
      </c>
      <c r="V90" s="278" t="s">
        <v>162</v>
      </c>
    </row>
    <row r="91" spans="1:22" x14ac:dyDescent="0.3">
      <c r="A91" s="282">
        <f>5</f>
        <v>5</v>
      </c>
      <c r="B91" s="38"/>
      <c r="C91" s="38"/>
      <c r="D91" s="276"/>
      <c r="E91" s="277"/>
      <c r="F91" s="38"/>
      <c r="G91" s="38"/>
      <c r="H91" s="261">
        <f t="shared" ref="H91:H100" si="56">D91*0.5</f>
        <v>0</v>
      </c>
      <c r="I91" s="260">
        <f t="shared" ref="I91:I100" si="57">(PI()*(H91*H91)*C91)/1000</f>
        <v>0</v>
      </c>
      <c r="J91" s="260">
        <f t="shared" ref="J91:J100" si="58">((PI()*(F91*0.5)*(G91*0.5)*E91)/3)/1000</f>
        <v>0</v>
      </c>
      <c r="K91" s="260">
        <f t="shared" ref="K91:K100" si="59">(((E91*F91)*G91)*0.5)/1000</f>
        <v>0</v>
      </c>
      <c r="L91" s="260" t="str">
        <f t="shared" ref="L91:L100" si="60">IFERROR(IF(VLOOKUP(B91,UdoteaInitialMetrics,2,FALSE) = "Vase-shaped", (I91+J91), IF(VLOOKUP(B91, UdoteaInitialMetrics,2,FALSE) = "Fan-shaped", (I91+K91), "")),"")</f>
        <v/>
      </c>
      <c r="M91" s="262" t="str">
        <f t="shared" ref="M91:M100" si="61">IF(B91=1,$E$11,IF(B91=2,$E$12,IF(B91=3,0,IF(B91=4,0,""))))</f>
        <v/>
      </c>
      <c r="N91" s="261" t="str">
        <f t="shared" ref="N91:N100" si="62">IF(B91=1,$H$11,IF(B91=2,$H$12,IF(B91=3,$H$13,IF(B91=4,$H$14,""))))</f>
        <v/>
      </c>
      <c r="O91" s="262" t="str">
        <f t="shared" ref="O91:O100" si="63">IFERROR((L91*M91)*N91, "")</f>
        <v/>
      </c>
      <c r="P91" s="262" t="str">
        <f t="shared" ref="P91:P100" si="64">IFERROR(O91*(1/$B$6), "")</f>
        <v/>
      </c>
      <c r="Q91" s="262" t="str">
        <f t="shared" ref="Q91:Q100" si="65">IFERROR(P91/1000,"")</f>
        <v/>
      </c>
      <c r="R91" s="258"/>
      <c r="S91" s="262" t="str">
        <f t="shared" ref="S91:S100" si="66">IF(B91=1, Q91,"")</f>
        <v/>
      </c>
      <c r="T91" s="262" t="str">
        <f t="shared" ref="T91:T100" si="67">IF(B91=2, Q91,"")</f>
        <v/>
      </c>
      <c r="U91" s="262" t="str">
        <f t="shared" ref="U91:U100" si="68">IF(B91=3, Q91,"")</f>
        <v/>
      </c>
      <c r="V91" s="264" t="str">
        <f t="shared" ref="V91:V100" si="69">IF(B91=4, Q91,"")</f>
        <v/>
      </c>
    </row>
    <row r="92" spans="1:22" x14ac:dyDescent="0.3">
      <c r="A92" s="282">
        <f>5</f>
        <v>5</v>
      </c>
      <c r="B92" s="38"/>
      <c r="C92" s="38"/>
      <c r="D92" s="276"/>
      <c r="E92" s="277"/>
      <c r="F92" s="38"/>
      <c r="G92" s="38"/>
      <c r="H92" s="261">
        <f t="shared" si="56"/>
        <v>0</v>
      </c>
      <c r="I92" s="260">
        <f t="shared" si="57"/>
        <v>0</v>
      </c>
      <c r="J92" s="260">
        <f t="shared" si="58"/>
        <v>0</v>
      </c>
      <c r="K92" s="260">
        <f t="shared" si="59"/>
        <v>0</v>
      </c>
      <c r="L92" s="260" t="str">
        <f t="shared" si="60"/>
        <v/>
      </c>
      <c r="M92" s="262" t="str">
        <f t="shared" si="61"/>
        <v/>
      </c>
      <c r="N92" s="261" t="str">
        <f t="shared" si="62"/>
        <v/>
      </c>
      <c r="O92" s="262" t="str">
        <f t="shared" si="63"/>
        <v/>
      </c>
      <c r="P92" s="262" t="str">
        <f t="shared" si="64"/>
        <v/>
      </c>
      <c r="Q92" s="262" t="str">
        <f t="shared" si="65"/>
        <v/>
      </c>
      <c r="R92" s="258"/>
      <c r="S92" s="262" t="str">
        <f t="shared" si="66"/>
        <v/>
      </c>
      <c r="T92" s="262" t="str">
        <f t="shared" si="67"/>
        <v/>
      </c>
      <c r="U92" s="262" t="str">
        <f t="shared" si="68"/>
        <v/>
      </c>
      <c r="V92" s="264" t="str">
        <f t="shared" si="69"/>
        <v/>
      </c>
    </row>
    <row r="93" spans="1:22" x14ac:dyDescent="0.3">
      <c r="A93" s="282">
        <f>5</f>
        <v>5</v>
      </c>
      <c r="B93" s="38"/>
      <c r="C93" s="38"/>
      <c r="D93" s="276"/>
      <c r="E93" s="277"/>
      <c r="F93" s="38"/>
      <c r="G93" s="38"/>
      <c r="H93" s="261">
        <f t="shared" si="56"/>
        <v>0</v>
      </c>
      <c r="I93" s="260">
        <f t="shared" si="57"/>
        <v>0</v>
      </c>
      <c r="J93" s="260">
        <f t="shared" si="58"/>
        <v>0</v>
      </c>
      <c r="K93" s="260">
        <f t="shared" si="59"/>
        <v>0</v>
      </c>
      <c r="L93" s="260" t="str">
        <f t="shared" si="60"/>
        <v/>
      </c>
      <c r="M93" s="262" t="str">
        <f t="shared" si="61"/>
        <v/>
      </c>
      <c r="N93" s="261" t="str">
        <f t="shared" si="62"/>
        <v/>
      </c>
      <c r="O93" s="262" t="str">
        <f t="shared" si="63"/>
        <v/>
      </c>
      <c r="P93" s="262" t="str">
        <f t="shared" si="64"/>
        <v/>
      </c>
      <c r="Q93" s="262" t="str">
        <f t="shared" si="65"/>
        <v/>
      </c>
      <c r="R93" s="258"/>
      <c r="S93" s="262" t="str">
        <f t="shared" si="66"/>
        <v/>
      </c>
      <c r="T93" s="262" t="str">
        <f t="shared" si="67"/>
        <v/>
      </c>
      <c r="U93" s="262" t="str">
        <f t="shared" si="68"/>
        <v/>
      </c>
      <c r="V93" s="264" t="str">
        <f t="shared" si="69"/>
        <v/>
      </c>
    </row>
    <row r="94" spans="1:22" x14ac:dyDescent="0.3">
      <c r="A94" s="282">
        <f>5</f>
        <v>5</v>
      </c>
      <c r="B94" s="38"/>
      <c r="C94" s="38"/>
      <c r="D94" s="276"/>
      <c r="E94" s="277"/>
      <c r="F94" s="38"/>
      <c r="G94" s="38"/>
      <c r="H94" s="261">
        <f t="shared" si="56"/>
        <v>0</v>
      </c>
      <c r="I94" s="260">
        <f t="shared" si="57"/>
        <v>0</v>
      </c>
      <c r="J94" s="260">
        <f t="shared" si="58"/>
        <v>0</v>
      </c>
      <c r="K94" s="260">
        <f t="shared" si="59"/>
        <v>0</v>
      </c>
      <c r="L94" s="260" t="str">
        <f t="shared" si="60"/>
        <v/>
      </c>
      <c r="M94" s="262" t="str">
        <f t="shared" si="61"/>
        <v/>
      </c>
      <c r="N94" s="261" t="str">
        <f t="shared" si="62"/>
        <v/>
      </c>
      <c r="O94" s="262" t="str">
        <f t="shared" si="63"/>
        <v/>
      </c>
      <c r="P94" s="262" t="str">
        <f t="shared" si="64"/>
        <v/>
      </c>
      <c r="Q94" s="262" t="str">
        <f t="shared" si="65"/>
        <v/>
      </c>
      <c r="R94" s="258"/>
      <c r="S94" s="262" t="str">
        <f t="shared" si="66"/>
        <v/>
      </c>
      <c r="T94" s="262" t="str">
        <f t="shared" si="67"/>
        <v/>
      </c>
      <c r="U94" s="262" t="str">
        <f t="shared" si="68"/>
        <v/>
      </c>
      <c r="V94" s="264" t="str">
        <f t="shared" si="69"/>
        <v/>
      </c>
    </row>
    <row r="95" spans="1:22" x14ac:dyDescent="0.3">
      <c r="A95" s="282">
        <f>5</f>
        <v>5</v>
      </c>
      <c r="B95" s="38"/>
      <c r="C95" s="38"/>
      <c r="D95" s="276"/>
      <c r="E95" s="277"/>
      <c r="F95" s="38"/>
      <c r="G95" s="38"/>
      <c r="H95" s="261">
        <f t="shared" si="56"/>
        <v>0</v>
      </c>
      <c r="I95" s="260">
        <f t="shared" si="57"/>
        <v>0</v>
      </c>
      <c r="J95" s="260">
        <f t="shared" si="58"/>
        <v>0</v>
      </c>
      <c r="K95" s="260">
        <f t="shared" si="59"/>
        <v>0</v>
      </c>
      <c r="L95" s="260" t="str">
        <f t="shared" si="60"/>
        <v/>
      </c>
      <c r="M95" s="262" t="str">
        <f t="shared" si="61"/>
        <v/>
      </c>
      <c r="N95" s="261" t="str">
        <f t="shared" si="62"/>
        <v/>
      </c>
      <c r="O95" s="262" t="str">
        <f t="shared" si="63"/>
        <v/>
      </c>
      <c r="P95" s="262" t="str">
        <f t="shared" si="64"/>
        <v/>
      </c>
      <c r="Q95" s="262" t="str">
        <f t="shared" si="65"/>
        <v/>
      </c>
      <c r="R95" s="258"/>
      <c r="S95" s="262" t="str">
        <f t="shared" si="66"/>
        <v/>
      </c>
      <c r="T95" s="262" t="str">
        <f t="shared" si="67"/>
        <v/>
      </c>
      <c r="U95" s="262" t="str">
        <f t="shared" si="68"/>
        <v/>
      </c>
      <c r="V95" s="264" t="str">
        <f t="shared" si="69"/>
        <v/>
      </c>
    </row>
    <row r="96" spans="1:22" x14ac:dyDescent="0.3">
      <c r="A96" s="282">
        <f>5</f>
        <v>5</v>
      </c>
      <c r="B96" s="38"/>
      <c r="C96" s="38"/>
      <c r="D96" s="276"/>
      <c r="E96" s="277"/>
      <c r="F96" s="38"/>
      <c r="G96" s="38"/>
      <c r="H96" s="261">
        <f t="shared" si="56"/>
        <v>0</v>
      </c>
      <c r="I96" s="260">
        <f t="shared" si="57"/>
        <v>0</v>
      </c>
      <c r="J96" s="260">
        <f t="shared" si="58"/>
        <v>0</v>
      </c>
      <c r="K96" s="260">
        <f t="shared" si="59"/>
        <v>0</v>
      </c>
      <c r="L96" s="260" t="str">
        <f t="shared" si="60"/>
        <v/>
      </c>
      <c r="M96" s="262" t="str">
        <f t="shared" si="61"/>
        <v/>
      </c>
      <c r="N96" s="261" t="str">
        <f t="shared" si="62"/>
        <v/>
      </c>
      <c r="O96" s="262" t="str">
        <f t="shared" si="63"/>
        <v/>
      </c>
      <c r="P96" s="262" t="str">
        <f t="shared" si="64"/>
        <v/>
      </c>
      <c r="Q96" s="262" t="str">
        <f t="shared" si="65"/>
        <v/>
      </c>
      <c r="R96" s="258"/>
      <c r="S96" s="262" t="str">
        <f t="shared" si="66"/>
        <v/>
      </c>
      <c r="T96" s="262" t="str">
        <f t="shared" si="67"/>
        <v/>
      </c>
      <c r="U96" s="262" t="str">
        <f t="shared" si="68"/>
        <v/>
      </c>
      <c r="V96" s="264" t="str">
        <f t="shared" si="69"/>
        <v/>
      </c>
    </row>
    <row r="97" spans="1:22" x14ac:dyDescent="0.3">
      <c r="A97" s="282">
        <f>5</f>
        <v>5</v>
      </c>
      <c r="B97" s="38"/>
      <c r="C97" s="38"/>
      <c r="D97" s="276"/>
      <c r="E97" s="277"/>
      <c r="F97" s="38"/>
      <c r="G97" s="38"/>
      <c r="H97" s="261">
        <f t="shared" si="56"/>
        <v>0</v>
      </c>
      <c r="I97" s="260">
        <f t="shared" si="57"/>
        <v>0</v>
      </c>
      <c r="J97" s="260">
        <f t="shared" si="58"/>
        <v>0</v>
      </c>
      <c r="K97" s="260">
        <f t="shared" si="59"/>
        <v>0</v>
      </c>
      <c r="L97" s="260" t="str">
        <f t="shared" si="60"/>
        <v/>
      </c>
      <c r="M97" s="262" t="str">
        <f t="shared" si="61"/>
        <v/>
      </c>
      <c r="N97" s="261" t="str">
        <f t="shared" si="62"/>
        <v/>
      </c>
      <c r="O97" s="262" t="str">
        <f t="shared" si="63"/>
        <v/>
      </c>
      <c r="P97" s="262" t="str">
        <f t="shared" si="64"/>
        <v/>
      </c>
      <c r="Q97" s="262" t="str">
        <f t="shared" si="65"/>
        <v/>
      </c>
      <c r="R97" s="258"/>
      <c r="S97" s="262" t="str">
        <f t="shared" si="66"/>
        <v/>
      </c>
      <c r="T97" s="262" t="str">
        <f t="shared" si="67"/>
        <v/>
      </c>
      <c r="U97" s="262" t="str">
        <f t="shared" si="68"/>
        <v/>
      </c>
      <c r="V97" s="264" t="str">
        <f t="shared" si="69"/>
        <v/>
      </c>
    </row>
    <row r="98" spans="1:22" x14ac:dyDescent="0.3">
      <c r="A98" s="282">
        <f>5</f>
        <v>5</v>
      </c>
      <c r="B98" s="38"/>
      <c r="C98" s="38"/>
      <c r="D98" s="276"/>
      <c r="E98" s="277"/>
      <c r="F98" s="38"/>
      <c r="G98" s="38"/>
      <c r="H98" s="261">
        <f t="shared" si="56"/>
        <v>0</v>
      </c>
      <c r="I98" s="260">
        <f t="shared" si="57"/>
        <v>0</v>
      </c>
      <c r="J98" s="260">
        <f t="shared" si="58"/>
        <v>0</v>
      </c>
      <c r="K98" s="260">
        <f t="shared" si="59"/>
        <v>0</v>
      </c>
      <c r="L98" s="260" t="str">
        <f t="shared" si="60"/>
        <v/>
      </c>
      <c r="M98" s="262" t="str">
        <f t="shared" si="61"/>
        <v/>
      </c>
      <c r="N98" s="261" t="str">
        <f t="shared" si="62"/>
        <v/>
      </c>
      <c r="O98" s="262" t="str">
        <f t="shared" si="63"/>
        <v/>
      </c>
      <c r="P98" s="262" t="str">
        <f t="shared" si="64"/>
        <v/>
      </c>
      <c r="Q98" s="262" t="str">
        <f t="shared" si="65"/>
        <v/>
      </c>
      <c r="R98" s="258"/>
      <c r="S98" s="262" t="str">
        <f t="shared" si="66"/>
        <v/>
      </c>
      <c r="T98" s="262" t="str">
        <f t="shared" si="67"/>
        <v/>
      </c>
      <c r="U98" s="262" t="str">
        <f t="shared" si="68"/>
        <v/>
      </c>
      <c r="V98" s="264" t="str">
        <f t="shared" si="69"/>
        <v/>
      </c>
    </row>
    <row r="99" spans="1:22" x14ac:dyDescent="0.3">
      <c r="A99" s="282">
        <f>5</f>
        <v>5</v>
      </c>
      <c r="B99" s="38"/>
      <c r="C99" s="38"/>
      <c r="D99" s="276"/>
      <c r="E99" s="277"/>
      <c r="F99" s="38"/>
      <c r="G99" s="38"/>
      <c r="H99" s="261">
        <f t="shared" si="56"/>
        <v>0</v>
      </c>
      <c r="I99" s="260">
        <f t="shared" si="57"/>
        <v>0</v>
      </c>
      <c r="J99" s="260">
        <f t="shared" si="58"/>
        <v>0</v>
      </c>
      <c r="K99" s="260">
        <f t="shared" si="59"/>
        <v>0</v>
      </c>
      <c r="L99" s="260" t="str">
        <f t="shared" si="60"/>
        <v/>
      </c>
      <c r="M99" s="262" t="str">
        <f t="shared" si="61"/>
        <v/>
      </c>
      <c r="N99" s="261" t="str">
        <f t="shared" si="62"/>
        <v/>
      </c>
      <c r="O99" s="262" t="str">
        <f t="shared" si="63"/>
        <v/>
      </c>
      <c r="P99" s="262" t="str">
        <f t="shared" si="64"/>
        <v/>
      </c>
      <c r="Q99" s="262" t="str">
        <f t="shared" si="65"/>
        <v/>
      </c>
      <c r="R99" s="258"/>
      <c r="S99" s="262" t="str">
        <f t="shared" si="66"/>
        <v/>
      </c>
      <c r="T99" s="262" t="str">
        <f t="shared" si="67"/>
        <v/>
      </c>
      <c r="U99" s="262" t="str">
        <f t="shared" si="68"/>
        <v/>
      </c>
      <c r="V99" s="264" t="str">
        <f t="shared" si="69"/>
        <v/>
      </c>
    </row>
    <row r="100" spans="1:22" x14ac:dyDescent="0.3">
      <c r="A100" s="282">
        <f>5</f>
        <v>5</v>
      </c>
      <c r="B100" s="38"/>
      <c r="C100" s="38"/>
      <c r="D100" s="276"/>
      <c r="E100" s="277"/>
      <c r="F100" s="38"/>
      <c r="G100" s="38"/>
      <c r="H100" s="261">
        <f t="shared" si="56"/>
        <v>0</v>
      </c>
      <c r="I100" s="260">
        <f t="shared" si="57"/>
        <v>0</v>
      </c>
      <c r="J100" s="260">
        <f t="shared" si="58"/>
        <v>0</v>
      </c>
      <c r="K100" s="260">
        <f t="shared" si="59"/>
        <v>0</v>
      </c>
      <c r="L100" s="260" t="str">
        <f t="shared" si="60"/>
        <v/>
      </c>
      <c r="M100" s="262" t="str">
        <f t="shared" si="61"/>
        <v/>
      </c>
      <c r="N100" s="261" t="str">
        <f t="shared" si="62"/>
        <v/>
      </c>
      <c r="O100" s="262" t="str">
        <f t="shared" si="63"/>
        <v/>
      </c>
      <c r="P100" s="262" t="str">
        <f t="shared" si="64"/>
        <v/>
      </c>
      <c r="Q100" s="262" t="str">
        <f t="shared" si="65"/>
        <v/>
      </c>
      <c r="R100" s="258"/>
      <c r="S100" s="262" t="str">
        <f t="shared" si="66"/>
        <v/>
      </c>
      <c r="T100" s="262" t="str">
        <f t="shared" si="67"/>
        <v/>
      </c>
      <c r="U100" s="262" t="str">
        <f t="shared" si="68"/>
        <v/>
      </c>
      <c r="V100" s="264" t="str">
        <f t="shared" si="69"/>
        <v/>
      </c>
    </row>
    <row r="101" spans="1:22" x14ac:dyDescent="0.3">
      <c r="B101" s="4" t="s">
        <v>139</v>
      </c>
      <c r="C101" s="4"/>
      <c r="D101" s="4"/>
      <c r="E101" s="253">
        <f>COUNT(B91:B100)</f>
        <v>0</v>
      </c>
      <c r="F101" s="28"/>
      <c r="G101" s="28"/>
      <c r="H101" s="28"/>
      <c r="I101" s="72"/>
      <c r="J101" s="72"/>
      <c r="K101" s="36"/>
      <c r="L101" s="93"/>
      <c r="M101" s="93"/>
      <c r="N101" s="12"/>
      <c r="O101" s="12"/>
      <c r="P101" s="254">
        <f>SUM(P91:P100)</f>
        <v>0</v>
      </c>
      <c r="Q101" s="254">
        <f>SUM(Q91:Q100)</f>
        <v>0</v>
      </c>
      <c r="S101" s="254">
        <f>SUM(S91:S100)</f>
        <v>0</v>
      </c>
      <c r="T101" s="256">
        <f>SUM(T91:T100)</f>
        <v>0</v>
      </c>
      <c r="U101" s="256">
        <f>SUM(U91:U100)</f>
        <v>0</v>
      </c>
      <c r="V101" s="256">
        <f>SUM(V91:V100)</f>
        <v>0</v>
      </c>
    </row>
    <row r="102" spans="1:22" x14ac:dyDescent="0.3">
      <c r="S102" s="93"/>
    </row>
    <row r="103" spans="1:22" x14ac:dyDescent="0.3">
      <c r="A103" s="4"/>
      <c r="B103" s="4"/>
      <c r="C103" s="4"/>
      <c r="D103" s="4"/>
      <c r="E103" s="4"/>
      <c r="F103" s="4"/>
      <c r="G103" s="4"/>
      <c r="H103" s="4"/>
      <c r="I103" s="4"/>
      <c r="J103" s="4"/>
      <c r="K103" s="4"/>
      <c r="L103" s="4"/>
      <c r="M103" s="4"/>
      <c r="N103" s="4"/>
      <c r="O103" s="4"/>
      <c r="P103" s="4"/>
      <c r="Q103" s="4"/>
      <c r="R103" s="4"/>
      <c r="S103" s="4"/>
      <c r="T103" s="4"/>
      <c r="U103" s="4"/>
      <c r="V103" s="4"/>
    </row>
    <row r="104" spans="1:22" x14ac:dyDescent="0.3">
      <c r="A104" s="4"/>
      <c r="B104" s="4"/>
      <c r="C104" s="4"/>
      <c r="D104" s="4"/>
      <c r="E104" s="4"/>
      <c r="F104" s="4"/>
      <c r="G104" s="4"/>
      <c r="H104" s="4"/>
      <c r="I104" s="4"/>
      <c r="J104" s="4"/>
      <c r="K104" s="4"/>
      <c r="L104" s="4"/>
      <c r="M104" s="4"/>
      <c r="N104" s="4"/>
      <c r="O104" s="4"/>
      <c r="P104" s="4"/>
      <c r="Q104" s="4"/>
      <c r="R104" s="4"/>
      <c r="S104" s="4"/>
      <c r="T104" s="4"/>
      <c r="U104" s="4"/>
      <c r="V104" s="4"/>
    </row>
    <row r="105" spans="1:22" x14ac:dyDescent="0.3">
      <c r="B105" s="323"/>
      <c r="C105" s="250" t="s">
        <v>826</v>
      </c>
      <c r="D105" s="402"/>
      <c r="E105" s="403"/>
      <c r="F105" s="250" t="s">
        <v>825</v>
      </c>
      <c r="G105" s="356"/>
      <c r="I105" s="12"/>
      <c r="L105" s="93"/>
      <c r="M105" s="93"/>
      <c r="O105" s="95"/>
      <c r="P105" s="245" t="s">
        <v>792</v>
      </c>
      <c r="Q105" s="87"/>
      <c r="R105" s="3"/>
      <c r="S105" s="35"/>
      <c r="T105" s="243" t="s">
        <v>827</v>
      </c>
      <c r="U105" s="259"/>
      <c r="V105" s="255"/>
    </row>
    <row r="106" spans="1:22" ht="34.5" x14ac:dyDescent="0.3">
      <c r="A106" s="266" t="s">
        <v>135</v>
      </c>
      <c r="B106" s="335" t="s">
        <v>143</v>
      </c>
      <c r="C106" s="272" t="s">
        <v>412</v>
      </c>
      <c r="D106" s="274" t="s">
        <v>1031</v>
      </c>
      <c r="E106" s="275" t="s">
        <v>157</v>
      </c>
      <c r="F106" s="269" t="s">
        <v>1029</v>
      </c>
      <c r="G106" s="269" t="s">
        <v>1030</v>
      </c>
      <c r="H106" s="335" t="s">
        <v>413</v>
      </c>
      <c r="I106" s="335" t="s">
        <v>414</v>
      </c>
      <c r="J106" s="335" t="s">
        <v>829</v>
      </c>
      <c r="K106" s="335" t="s">
        <v>830</v>
      </c>
      <c r="L106" s="335" t="s">
        <v>795</v>
      </c>
      <c r="M106" s="335" t="s">
        <v>409</v>
      </c>
      <c r="N106" s="335" t="s">
        <v>153</v>
      </c>
      <c r="O106" s="269" t="s">
        <v>796</v>
      </c>
      <c r="P106" s="269" t="s">
        <v>159</v>
      </c>
      <c r="Q106" s="269" t="s">
        <v>160</v>
      </c>
      <c r="R106" s="257" t="s">
        <v>824</v>
      </c>
      <c r="S106" s="269" t="s">
        <v>137</v>
      </c>
      <c r="T106" s="269" t="s">
        <v>138</v>
      </c>
      <c r="U106" s="269" t="s">
        <v>161</v>
      </c>
      <c r="V106" s="278" t="s">
        <v>162</v>
      </c>
    </row>
    <row r="107" spans="1:22" x14ac:dyDescent="0.3">
      <c r="A107" s="282">
        <f>6</f>
        <v>6</v>
      </c>
      <c r="B107" s="38"/>
      <c r="C107" s="38"/>
      <c r="D107" s="276"/>
      <c r="E107" s="277"/>
      <c r="F107" s="38"/>
      <c r="G107" s="38"/>
      <c r="H107" s="261">
        <f t="shared" ref="H107:H116" si="70">D107*0.5</f>
        <v>0</v>
      </c>
      <c r="I107" s="260">
        <f t="shared" ref="I107:I116" si="71">(PI()*(H107*H107)*C107)/1000</f>
        <v>0</v>
      </c>
      <c r="J107" s="260">
        <f t="shared" ref="J107:J116" si="72">((PI()*(F107*0.5)*(G107*0.5)*E107)/3)/1000</f>
        <v>0</v>
      </c>
      <c r="K107" s="260">
        <f t="shared" ref="K107:K116" si="73">(((E107*F107)*G107)*0.5)/1000</f>
        <v>0</v>
      </c>
      <c r="L107" s="260" t="str">
        <f t="shared" ref="L107:L116" si="74">IFERROR(IF(VLOOKUP(B107,UdoteaInitialMetrics,2,FALSE) = "Vase-shaped", (I107+J107), IF(VLOOKUP(B107, UdoteaInitialMetrics,2,FALSE) = "Fan-shaped", (I107+K107), "")),"")</f>
        <v/>
      </c>
      <c r="M107" s="262" t="str">
        <f t="shared" ref="M107:M116" si="75">IF(B107=1,$E$11,IF(B107=2,$E$12,IF(B107=3,0,IF(B107=4,0,""))))</f>
        <v/>
      </c>
      <c r="N107" s="261" t="str">
        <f t="shared" ref="N107:N116" si="76">IF(B107=1,$H$11,IF(B107=2,$H$12,IF(B107=3,$H$13,IF(B107=4,$H$14,""))))</f>
        <v/>
      </c>
      <c r="O107" s="262" t="str">
        <f t="shared" ref="O107:O116" si="77">IFERROR((L107*M107)*N107, "")</f>
        <v/>
      </c>
      <c r="P107" s="262" t="str">
        <f t="shared" ref="P107:P116" si="78">IFERROR(O107*(1/$B$6), "")</f>
        <v/>
      </c>
      <c r="Q107" s="262" t="str">
        <f t="shared" ref="Q107:Q116" si="79">IFERROR(P107/1000,"")</f>
        <v/>
      </c>
      <c r="R107" s="258"/>
      <c r="S107" s="262" t="str">
        <f t="shared" ref="S107:S116" si="80">IF(B107=1, Q107,"")</f>
        <v/>
      </c>
      <c r="T107" s="262" t="str">
        <f t="shared" ref="T107:T116" si="81">IF(B107=2, Q107,"")</f>
        <v/>
      </c>
      <c r="U107" s="262" t="str">
        <f t="shared" ref="U107:U116" si="82">IF(B107=3, Q107,"")</f>
        <v/>
      </c>
      <c r="V107" s="264" t="str">
        <f t="shared" ref="V107:V116" si="83">IF(B107=4, Q107,"")</f>
        <v/>
      </c>
    </row>
    <row r="108" spans="1:22" x14ac:dyDescent="0.3">
      <c r="A108" s="282">
        <f>6</f>
        <v>6</v>
      </c>
      <c r="B108" s="38"/>
      <c r="C108" s="38"/>
      <c r="D108" s="276"/>
      <c r="E108" s="277"/>
      <c r="F108" s="38"/>
      <c r="G108" s="38"/>
      <c r="H108" s="261">
        <f t="shared" si="70"/>
        <v>0</v>
      </c>
      <c r="I108" s="260">
        <f t="shared" si="71"/>
        <v>0</v>
      </c>
      <c r="J108" s="260">
        <f t="shared" si="72"/>
        <v>0</v>
      </c>
      <c r="K108" s="260">
        <f t="shared" si="73"/>
        <v>0</v>
      </c>
      <c r="L108" s="260" t="str">
        <f t="shared" si="74"/>
        <v/>
      </c>
      <c r="M108" s="262" t="str">
        <f t="shared" si="75"/>
        <v/>
      </c>
      <c r="N108" s="261" t="str">
        <f t="shared" si="76"/>
        <v/>
      </c>
      <c r="O108" s="262" t="str">
        <f t="shared" si="77"/>
        <v/>
      </c>
      <c r="P108" s="262" t="str">
        <f t="shared" si="78"/>
        <v/>
      </c>
      <c r="Q108" s="262" t="str">
        <f t="shared" si="79"/>
        <v/>
      </c>
      <c r="R108" s="258"/>
      <c r="S108" s="262" t="str">
        <f t="shared" si="80"/>
        <v/>
      </c>
      <c r="T108" s="262" t="str">
        <f t="shared" si="81"/>
        <v/>
      </c>
      <c r="U108" s="262" t="str">
        <f t="shared" si="82"/>
        <v/>
      </c>
      <c r="V108" s="264" t="str">
        <f t="shared" si="83"/>
        <v/>
      </c>
    </row>
    <row r="109" spans="1:22" x14ac:dyDescent="0.3">
      <c r="A109" s="282">
        <f>6</f>
        <v>6</v>
      </c>
      <c r="B109" s="38"/>
      <c r="C109" s="38"/>
      <c r="D109" s="276"/>
      <c r="E109" s="277"/>
      <c r="F109" s="38"/>
      <c r="G109" s="38"/>
      <c r="H109" s="261">
        <f t="shared" si="70"/>
        <v>0</v>
      </c>
      <c r="I109" s="260">
        <f t="shared" si="71"/>
        <v>0</v>
      </c>
      <c r="J109" s="260">
        <f t="shared" si="72"/>
        <v>0</v>
      </c>
      <c r="K109" s="260">
        <f t="shared" si="73"/>
        <v>0</v>
      </c>
      <c r="L109" s="260" t="str">
        <f t="shared" si="74"/>
        <v/>
      </c>
      <c r="M109" s="262" t="str">
        <f t="shared" si="75"/>
        <v/>
      </c>
      <c r="N109" s="261" t="str">
        <f t="shared" si="76"/>
        <v/>
      </c>
      <c r="O109" s="262" t="str">
        <f t="shared" si="77"/>
        <v/>
      </c>
      <c r="P109" s="262" t="str">
        <f t="shared" si="78"/>
        <v/>
      </c>
      <c r="Q109" s="262" t="str">
        <f t="shared" si="79"/>
        <v/>
      </c>
      <c r="R109" s="258"/>
      <c r="S109" s="262" t="str">
        <f t="shared" si="80"/>
        <v/>
      </c>
      <c r="T109" s="262" t="str">
        <f t="shared" si="81"/>
        <v/>
      </c>
      <c r="U109" s="262" t="str">
        <f t="shared" si="82"/>
        <v/>
      </c>
      <c r="V109" s="264" t="str">
        <f t="shared" si="83"/>
        <v/>
      </c>
    </row>
    <row r="110" spans="1:22" x14ac:dyDescent="0.3">
      <c r="A110" s="282">
        <f>6</f>
        <v>6</v>
      </c>
      <c r="B110" s="38"/>
      <c r="C110" s="38"/>
      <c r="D110" s="276"/>
      <c r="E110" s="277"/>
      <c r="F110" s="38"/>
      <c r="G110" s="38"/>
      <c r="H110" s="261">
        <f t="shared" si="70"/>
        <v>0</v>
      </c>
      <c r="I110" s="260">
        <f t="shared" si="71"/>
        <v>0</v>
      </c>
      <c r="J110" s="260">
        <f t="shared" si="72"/>
        <v>0</v>
      </c>
      <c r="K110" s="260">
        <f t="shared" si="73"/>
        <v>0</v>
      </c>
      <c r="L110" s="260" t="str">
        <f t="shared" si="74"/>
        <v/>
      </c>
      <c r="M110" s="262" t="str">
        <f t="shared" si="75"/>
        <v/>
      </c>
      <c r="N110" s="261" t="str">
        <f t="shared" si="76"/>
        <v/>
      </c>
      <c r="O110" s="262" t="str">
        <f t="shared" si="77"/>
        <v/>
      </c>
      <c r="P110" s="262" t="str">
        <f t="shared" si="78"/>
        <v/>
      </c>
      <c r="Q110" s="262" t="str">
        <f t="shared" si="79"/>
        <v/>
      </c>
      <c r="R110" s="258"/>
      <c r="S110" s="262" t="str">
        <f t="shared" si="80"/>
        <v/>
      </c>
      <c r="T110" s="262" t="str">
        <f t="shared" si="81"/>
        <v/>
      </c>
      <c r="U110" s="262" t="str">
        <f t="shared" si="82"/>
        <v/>
      </c>
      <c r="V110" s="264" t="str">
        <f t="shared" si="83"/>
        <v/>
      </c>
    </row>
    <row r="111" spans="1:22" x14ac:dyDescent="0.3">
      <c r="A111" s="282">
        <f>6</f>
        <v>6</v>
      </c>
      <c r="B111" s="38"/>
      <c r="C111" s="38"/>
      <c r="D111" s="276"/>
      <c r="E111" s="277"/>
      <c r="F111" s="38"/>
      <c r="G111" s="38"/>
      <c r="H111" s="261">
        <f t="shared" si="70"/>
        <v>0</v>
      </c>
      <c r="I111" s="260">
        <f t="shared" si="71"/>
        <v>0</v>
      </c>
      <c r="J111" s="260">
        <f t="shared" si="72"/>
        <v>0</v>
      </c>
      <c r="K111" s="260">
        <f t="shared" si="73"/>
        <v>0</v>
      </c>
      <c r="L111" s="260" t="str">
        <f t="shared" si="74"/>
        <v/>
      </c>
      <c r="M111" s="262" t="str">
        <f t="shared" si="75"/>
        <v/>
      </c>
      <c r="N111" s="261" t="str">
        <f t="shared" si="76"/>
        <v/>
      </c>
      <c r="O111" s="262" t="str">
        <f t="shared" si="77"/>
        <v/>
      </c>
      <c r="P111" s="262" t="str">
        <f t="shared" si="78"/>
        <v/>
      </c>
      <c r="Q111" s="262" t="str">
        <f t="shared" si="79"/>
        <v/>
      </c>
      <c r="R111" s="258"/>
      <c r="S111" s="262" t="str">
        <f t="shared" si="80"/>
        <v/>
      </c>
      <c r="T111" s="262" t="str">
        <f t="shared" si="81"/>
        <v/>
      </c>
      <c r="U111" s="262" t="str">
        <f t="shared" si="82"/>
        <v/>
      </c>
      <c r="V111" s="264" t="str">
        <f t="shared" si="83"/>
        <v/>
      </c>
    </row>
    <row r="112" spans="1:22" x14ac:dyDescent="0.3">
      <c r="A112" s="282">
        <f>6</f>
        <v>6</v>
      </c>
      <c r="B112" s="38"/>
      <c r="C112" s="38"/>
      <c r="D112" s="276"/>
      <c r="E112" s="277"/>
      <c r="F112" s="38"/>
      <c r="G112" s="38"/>
      <c r="H112" s="261">
        <f t="shared" si="70"/>
        <v>0</v>
      </c>
      <c r="I112" s="260">
        <f t="shared" si="71"/>
        <v>0</v>
      </c>
      <c r="J112" s="260">
        <f t="shared" si="72"/>
        <v>0</v>
      </c>
      <c r="K112" s="260">
        <f t="shared" si="73"/>
        <v>0</v>
      </c>
      <c r="L112" s="260" t="str">
        <f t="shared" si="74"/>
        <v/>
      </c>
      <c r="M112" s="262" t="str">
        <f t="shared" si="75"/>
        <v/>
      </c>
      <c r="N112" s="261" t="str">
        <f t="shared" si="76"/>
        <v/>
      </c>
      <c r="O112" s="262" t="str">
        <f t="shared" si="77"/>
        <v/>
      </c>
      <c r="P112" s="262" t="str">
        <f t="shared" si="78"/>
        <v/>
      </c>
      <c r="Q112" s="262" t="str">
        <f t="shared" si="79"/>
        <v/>
      </c>
      <c r="R112" s="258"/>
      <c r="S112" s="262" t="str">
        <f t="shared" si="80"/>
        <v/>
      </c>
      <c r="T112" s="262" t="str">
        <f t="shared" si="81"/>
        <v/>
      </c>
      <c r="U112" s="262" t="str">
        <f t="shared" si="82"/>
        <v/>
      </c>
      <c r="V112" s="264" t="str">
        <f t="shared" si="83"/>
        <v/>
      </c>
    </row>
    <row r="113" spans="1:22" x14ac:dyDescent="0.3">
      <c r="A113" s="282">
        <f>6</f>
        <v>6</v>
      </c>
      <c r="B113" s="38"/>
      <c r="C113" s="38"/>
      <c r="D113" s="276"/>
      <c r="E113" s="277"/>
      <c r="F113" s="38"/>
      <c r="G113" s="38"/>
      <c r="H113" s="261">
        <f t="shared" si="70"/>
        <v>0</v>
      </c>
      <c r="I113" s="260">
        <f t="shared" si="71"/>
        <v>0</v>
      </c>
      <c r="J113" s="260">
        <f t="shared" si="72"/>
        <v>0</v>
      </c>
      <c r="K113" s="260">
        <f t="shared" si="73"/>
        <v>0</v>
      </c>
      <c r="L113" s="260" t="str">
        <f t="shared" si="74"/>
        <v/>
      </c>
      <c r="M113" s="262" t="str">
        <f t="shared" si="75"/>
        <v/>
      </c>
      <c r="N113" s="261" t="str">
        <f t="shared" si="76"/>
        <v/>
      </c>
      <c r="O113" s="262" t="str">
        <f t="shared" si="77"/>
        <v/>
      </c>
      <c r="P113" s="262" t="str">
        <f t="shared" si="78"/>
        <v/>
      </c>
      <c r="Q113" s="262" t="str">
        <f t="shared" si="79"/>
        <v/>
      </c>
      <c r="R113" s="258"/>
      <c r="S113" s="262" t="str">
        <f t="shared" si="80"/>
        <v/>
      </c>
      <c r="T113" s="262" t="str">
        <f t="shared" si="81"/>
        <v/>
      </c>
      <c r="U113" s="262" t="str">
        <f t="shared" si="82"/>
        <v/>
      </c>
      <c r="V113" s="264" t="str">
        <f t="shared" si="83"/>
        <v/>
      </c>
    </row>
    <row r="114" spans="1:22" x14ac:dyDescent="0.3">
      <c r="A114" s="282">
        <f>6</f>
        <v>6</v>
      </c>
      <c r="B114" s="38"/>
      <c r="C114" s="38"/>
      <c r="D114" s="276"/>
      <c r="E114" s="277"/>
      <c r="F114" s="38"/>
      <c r="G114" s="38"/>
      <c r="H114" s="261">
        <f t="shared" si="70"/>
        <v>0</v>
      </c>
      <c r="I114" s="260">
        <f t="shared" si="71"/>
        <v>0</v>
      </c>
      <c r="J114" s="260">
        <f t="shared" si="72"/>
        <v>0</v>
      </c>
      <c r="K114" s="260">
        <f t="shared" si="73"/>
        <v>0</v>
      </c>
      <c r="L114" s="260" t="str">
        <f t="shared" si="74"/>
        <v/>
      </c>
      <c r="M114" s="262" t="str">
        <f t="shared" si="75"/>
        <v/>
      </c>
      <c r="N114" s="261" t="str">
        <f t="shared" si="76"/>
        <v/>
      </c>
      <c r="O114" s="262" t="str">
        <f t="shared" si="77"/>
        <v/>
      </c>
      <c r="P114" s="262" t="str">
        <f t="shared" si="78"/>
        <v/>
      </c>
      <c r="Q114" s="262" t="str">
        <f t="shared" si="79"/>
        <v/>
      </c>
      <c r="R114" s="258"/>
      <c r="S114" s="262" t="str">
        <f t="shared" si="80"/>
        <v/>
      </c>
      <c r="T114" s="262" t="str">
        <f t="shared" si="81"/>
        <v/>
      </c>
      <c r="U114" s="262" t="str">
        <f t="shared" si="82"/>
        <v/>
      </c>
      <c r="V114" s="264" t="str">
        <f t="shared" si="83"/>
        <v/>
      </c>
    </row>
    <row r="115" spans="1:22" x14ac:dyDescent="0.3">
      <c r="A115" s="282">
        <f>6</f>
        <v>6</v>
      </c>
      <c r="B115" s="38"/>
      <c r="C115" s="38"/>
      <c r="D115" s="276"/>
      <c r="E115" s="277"/>
      <c r="F115" s="38"/>
      <c r="G115" s="38"/>
      <c r="H115" s="261">
        <f t="shared" si="70"/>
        <v>0</v>
      </c>
      <c r="I115" s="260">
        <f t="shared" si="71"/>
        <v>0</v>
      </c>
      <c r="J115" s="260">
        <f t="shared" si="72"/>
        <v>0</v>
      </c>
      <c r="K115" s="260">
        <f t="shared" si="73"/>
        <v>0</v>
      </c>
      <c r="L115" s="260" t="str">
        <f t="shared" si="74"/>
        <v/>
      </c>
      <c r="M115" s="262" t="str">
        <f t="shared" si="75"/>
        <v/>
      </c>
      <c r="N115" s="261" t="str">
        <f t="shared" si="76"/>
        <v/>
      </c>
      <c r="O115" s="262" t="str">
        <f t="shared" si="77"/>
        <v/>
      </c>
      <c r="P115" s="262" t="str">
        <f t="shared" si="78"/>
        <v/>
      </c>
      <c r="Q115" s="262" t="str">
        <f t="shared" si="79"/>
        <v/>
      </c>
      <c r="R115" s="258"/>
      <c r="S115" s="262" t="str">
        <f t="shared" si="80"/>
        <v/>
      </c>
      <c r="T115" s="262" t="str">
        <f t="shared" si="81"/>
        <v/>
      </c>
      <c r="U115" s="262" t="str">
        <f t="shared" si="82"/>
        <v/>
      </c>
      <c r="V115" s="264" t="str">
        <f t="shared" si="83"/>
        <v/>
      </c>
    </row>
    <row r="116" spans="1:22" x14ac:dyDescent="0.3">
      <c r="A116" s="282">
        <f>6</f>
        <v>6</v>
      </c>
      <c r="B116" s="38"/>
      <c r="C116" s="38"/>
      <c r="D116" s="276"/>
      <c r="E116" s="277"/>
      <c r="F116" s="38"/>
      <c r="G116" s="38"/>
      <c r="H116" s="261">
        <f t="shared" si="70"/>
        <v>0</v>
      </c>
      <c r="I116" s="260">
        <f t="shared" si="71"/>
        <v>0</v>
      </c>
      <c r="J116" s="260">
        <f t="shared" si="72"/>
        <v>0</v>
      </c>
      <c r="K116" s="260">
        <f t="shared" si="73"/>
        <v>0</v>
      </c>
      <c r="L116" s="260" t="str">
        <f t="shared" si="74"/>
        <v/>
      </c>
      <c r="M116" s="262" t="str">
        <f t="shared" si="75"/>
        <v/>
      </c>
      <c r="N116" s="261" t="str">
        <f t="shared" si="76"/>
        <v/>
      </c>
      <c r="O116" s="262" t="str">
        <f t="shared" si="77"/>
        <v/>
      </c>
      <c r="P116" s="262" t="str">
        <f t="shared" si="78"/>
        <v/>
      </c>
      <c r="Q116" s="262" t="str">
        <f t="shared" si="79"/>
        <v/>
      </c>
      <c r="R116" s="258"/>
      <c r="S116" s="262" t="str">
        <f t="shared" si="80"/>
        <v/>
      </c>
      <c r="T116" s="262" t="str">
        <f t="shared" si="81"/>
        <v/>
      </c>
      <c r="U116" s="262" t="str">
        <f t="shared" si="82"/>
        <v/>
      </c>
      <c r="V116" s="264" t="str">
        <f t="shared" si="83"/>
        <v/>
      </c>
    </row>
    <row r="117" spans="1:22" x14ac:dyDescent="0.3">
      <c r="B117" s="4" t="s">
        <v>139</v>
      </c>
      <c r="C117" s="4"/>
      <c r="D117" s="4"/>
      <c r="E117" s="253">
        <f>COUNT(B107:B116)</f>
        <v>0</v>
      </c>
      <c r="F117" s="28"/>
      <c r="G117" s="28"/>
      <c r="H117" s="28"/>
      <c r="I117" s="72"/>
      <c r="J117" s="72"/>
      <c r="K117" s="36"/>
      <c r="L117" s="93"/>
      <c r="M117" s="93"/>
      <c r="N117" s="12"/>
      <c r="O117" s="12"/>
      <c r="P117" s="254">
        <f>SUM(P107:P116)</f>
        <v>0</v>
      </c>
      <c r="Q117" s="254">
        <f>SUM(Q107:Q116)</f>
        <v>0</v>
      </c>
      <c r="S117" s="254">
        <f>SUM(S107:S116)</f>
        <v>0</v>
      </c>
      <c r="T117" s="256">
        <f>SUM(T107:T116)</f>
        <v>0</v>
      </c>
      <c r="U117" s="256">
        <f>SUM(U107:U116)</f>
        <v>0</v>
      </c>
      <c r="V117" s="256">
        <f>SUM(V107:V116)</f>
        <v>0</v>
      </c>
    </row>
    <row r="118" spans="1:22" x14ac:dyDescent="0.3">
      <c r="S118" s="93"/>
    </row>
    <row r="119" spans="1:22" x14ac:dyDescent="0.3">
      <c r="A119" s="4"/>
      <c r="B119" s="4"/>
      <c r="C119" s="4"/>
      <c r="D119" s="4"/>
      <c r="E119" s="4"/>
      <c r="F119" s="4"/>
      <c r="G119" s="4"/>
      <c r="H119" s="4"/>
      <c r="I119" s="4"/>
      <c r="J119" s="4"/>
      <c r="K119" s="4"/>
      <c r="L119" s="4"/>
      <c r="M119" s="4"/>
      <c r="N119" s="4"/>
      <c r="O119" s="4"/>
      <c r="P119" s="4"/>
      <c r="Q119" s="4"/>
      <c r="R119" s="4"/>
      <c r="S119" s="4"/>
      <c r="T119" s="4"/>
      <c r="U119" s="4"/>
      <c r="V119" s="4"/>
    </row>
    <row r="120" spans="1:22" x14ac:dyDescent="0.3">
      <c r="A120" s="4"/>
      <c r="B120" s="4"/>
      <c r="C120" s="4"/>
      <c r="D120" s="4"/>
      <c r="E120" s="4"/>
      <c r="F120" s="4"/>
      <c r="G120" s="4"/>
      <c r="H120" s="4"/>
      <c r="I120" s="4"/>
      <c r="J120" s="4"/>
      <c r="K120" s="4"/>
      <c r="L120" s="4"/>
      <c r="M120" s="4"/>
      <c r="N120" s="4"/>
      <c r="O120" s="4"/>
      <c r="P120" s="4"/>
      <c r="Q120" s="4"/>
      <c r="R120" s="4"/>
      <c r="S120" s="4"/>
      <c r="T120" s="4"/>
      <c r="U120" s="4"/>
      <c r="V120" s="4"/>
    </row>
    <row r="121" spans="1:22" x14ac:dyDescent="0.3">
      <c r="B121" s="323"/>
      <c r="C121" s="250" t="s">
        <v>826</v>
      </c>
      <c r="D121" s="402"/>
      <c r="E121" s="403"/>
      <c r="F121" s="250" t="s">
        <v>825</v>
      </c>
      <c r="G121" s="356"/>
      <c r="I121" s="12"/>
      <c r="L121" s="93"/>
      <c r="M121" s="93"/>
      <c r="O121" s="95"/>
      <c r="P121" s="245" t="s">
        <v>792</v>
      </c>
      <c r="Q121" s="87"/>
      <c r="R121" s="3"/>
      <c r="S121" s="35"/>
      <c r="T121" s="243" t="s">
        <v>827</v>
      </c>
      <c r="U121" s="259"/>
      <c r="V121" s="255"/>
    </row>
    <row r="122" spans="1:22" ht="34.5" x14ac:dyDescent="0.3">
      <c r="A122" s="266" t="s">
        <v>135</v>
      </c>
      <c r="B122" s="335" t="s">
        <v>143</v>
      </c>
      <c r="C122" s="272" t="s">
        <v>412</v>
      </c>
      <c r="D122" s="274" t="s">
        <v>1031</v>
      </c>
      <c r="E122" s="275" t="s">
        <v>157</v>
      </c>
      <c r="F122" s="269" t="s">
        <v>1029</v>
      </c>
      <c r="G122" s="269" t="s">
        <v>1030</v>
      </c>
      <c r="H122" s="335" t="s">
        <v>413</v>
      </c>
      <c r="I122" s="335" t="s">
        <v>414</v>
      </c>
      <c r="J122" s="335" t="s">
        <v>829</v>
      </c>
      <c r="K122" s="335" t="s">
        <v>830</v>
      </c>
      <c r="L122" s="335" t="s">
        <v>795</v>
      </c>
      <c r="M122" s="335" t="s">
        <v>409</v>
      </c>
      <c r="N122" s="335" t="s">
        <v>153</v>
      </c>
      <c r="O122" s="269" t="s">
        <v>796</v>
      </c>
      <c r="P122" s="269" t="s">
        <v>159</v>
      </c>
      <c r="Q122" s="269" t="s">
        <v>160</v>
      </c>
      <c r="R122" s="257" t="s">
        <v>824</v>
      </c>
      <c r="S122" s="269" t="s">
        <v>137</v>
      </c>
      <c r="T122" s="269" t="s">
        <v>138</v>
      </c>
      <c r="U122" s="269" t="s">
        <v>161</v>
      </c>
      <c r="V122" s="278" t="s">
        <v>162</v>
      </c>
    </row>
    <row r="123" spans="1:22" x14ac:dyDescent="0.3">
      <c r="A123" s="282">
        <f>7</f>
        <v>7</v>
      </c>
      <c r="B123" s="38"/>
      <c r="C123" s="38"/>
      <c r="D123" s="276"/>
      <c r="E123" s="277"/>
      <c r="F123" s="38"/>
      <c r="G123" s="38"/>
      <c r="H123" s="261">
        <f t="shared" ref="H123:H132" si="84">D123*0.5</f>
        <v>0</v>
      </c>
      <c r="I123" s="260">
        <f t="shared" ref="I123:I132" si="85">(PI()*(H123*H123)*C123)/1000</f>
        <v>0</v>
      </c>
      <c r="J123" s="260">
        <f t="shared" ref="J123:J132" si="86">((PI()*(F123*0.5)*(G123*0.5)*E123)/3)/1000</f>
        <v>0</v>
      </c>
      <c r="K123" s="260">
        <f t="shared" ref="K123:K132" si="87">(((E123*F123)*G123)*0.5)/1000</f>
        <v>0</v>
      </c>
      <c r="L123" s="260" t="str">
        <f t="shared" ref="L123:L132" si="88">IFERROR(IF(VLOOKUP(B123,UdoteaInitialMetrics,2,FALSE) = "Vase-shaped", (I123+J123), IF(VLOOKUP(B123, UdoteaInitialMetrics,2,FALSE) = "Fan-shaped", (I123+K123), "")),"")</f>
        <v/>
      </c>
      <c r="M123" s="262" t="str">
        <f t="shared" ref="M123:M132" si="89">IF(B123=1,$E$11,IF(B123=2,$E$12,IF(B123=3,0,IF(B123=4,0,""))))</f>
        <v/>
      </c>
      <c r="N123" s="261" t="str">
        <f t="shared" ref="N123:N132" si="90">IF(B123=1,$H$11,IF(B123=2,$H$12,IF(B123=3,$H$13,IF(B123=4,$H$14,""))))</f>
        <v/>
      </c>
      <c r="O123" s="262" t="str">
        <f t="shared" ref="O123:O132" si="91">IFERROR((L123*M123)*N123, "")</f>
        <v/>
      </c>
      <c r="P123" s="262" t="str">
        <f t="shared" ref="P123:P132" si="92">IFERROR(O123*(1/$B$6), "")</f>
        <v/>
      </c>
      <c r="Q123" s="262" t="str">
        <f t="shared" ref="Q123:Q132" si="93">IFERROR(P123/1000,"")</f>
        <v/>
      </c>
      <c r="R123" s="258"/>
      <c r="S123" s="262" t="str">
        <f t="shared" ref="S123:S132" si="94">IF(B123=1, Q123,"")</f>
        <v/>
      </c>
      <c r="T123" s="262" t="str">
        <f t="shared" ref="T123:T132" si="95">IF(B123=2, Q123,"")</f>
        <v/>
      </c>
      <c r="U123" s="262" t="str">
        <f t="shared" ref="U123:U132" si="96">IF(B123=3, Q123,"")</f>
        <v/>
      </c>
      <c r="V123" s="264" t="str">
        <f t="shared" ref="V123:V132" si="97">IF(B123=4, Q123,"")</f>
        <v/>
      </c>
    </row>
    <row r="124" spans="1:22" x14ac:dyDescent="0.3">
      <c r="A124" s="282">
        <f>7</f>
        <v>7</v>
      </c>
      <c r="B124" s="38"/>
      <c r="C124" s="38"/>
      <c r="D124" s="276"/>
      <c r="E124" s="277"/>
      <c r="F124" s="38"/>
      <c r="G124" s="38"/>
      <c r="H124" s="261">
        <f t="shared" si="84"/>
        <v>0</v>
      </c>
      <c r="I124" s="260">
        <f t="shared" si="85"/>
        <v>0</v>
      </c>
      <c r="J124" s="260">
        <f t="shared" si="86"/>
        <v>0</v>
      </c>
      <c r="K124" s="260">
        <f t="shared" si="87"/>
        <v>0</v>
      </c>
      <c r="L124" s="260" t="str">
        <f t="shared" si="88"/>
        <v/>
      </c>
      <c r="M124" s="262" t="str">
        <f t="shared" si="89"/>
        <v/>
      </c>
      <c r="N124" s="261" t="str">
        <f t="shared" si="90"/>
        <v/>
      </c>
      <c r="O124" s="262" t="str">
        <f t="shared" si="91"/>
        <v/>
      </c>
      <c r="P124" s="262" t="str">
        <f t="shared" si="92"/>
        <v/>
      </c>
      <c r="Q124" s="262" t="str">
        <f t="shared" si="93"/>
        <v/>
      </c>
      <c r="R124" s="258"/>
      <c r="S124" s="262" t="str">
        <f t="shared" si="94"/>
        <v/>
      </c>
      <c r="T124" s="262" t="str">
        <f t="shared" si="95"/>
        <v/>
      </c>
      <c r="U124" s="262" t="str">
        <f t="shared" si="96"/>
        <v/>
      </c>
      <c r="V124" s="264" t="str">
        <f t="shared" si="97"/>
        <v/>
      </c>
    </row>
    <row r="125" spans="1:22" x14ac:dyDescent="0.3">
      <c r="A125" s="282">
        <f>7</f>
        <v>7</v>
      </c>
      <c r="B125" s="38"/>
      <c r="C125" s="38"/>
      <c r="D125" s="276"/>
      <c r="E125" s="277"/>
      <c r="F125" s="38"/>
      <c r="G125" s="38"/>
      <c r="H125" s="261">
        <f t="shared" si="84"/>
        <v>0</v>
      </c>
      <c r="I125" s="260">
        <f t="shared" si="85"/>
        <v>0</v>
      </c>
      <c r="J125" s="260">
        <f t="shared" si="86"/>
        <v>0</v>
      </c>
      <c r="K125" s="260">
        <f t="shared" si="87"/>
        <v>0</v>
      </c>
      <c r="L125" s="260" t="str">
        <f t="shared" si="88"/>
        <v/>
      </c>
      <c r="M125" s="262" t="str">
        <f t="shared" si="89"/>
        <v/>
      </c>
      <c r="N125" s="261" t="str">
        <f t="shared" si="90"/>
        <v/>
      </c>
      <c r="O125" s="262" t="str">
        <f t="shared" si="91"/>
        <v/>
      </c>
      <c r="P125" s="262" t="str">
        <f t="shared" si="92"/>
        <v/>
      </c>
      <c r="Q125" s="262" t="str">
        <f t="shared" si="93"/>
        <v/>
      </c>
      <c r="R125" s="258"/>
      <c r="S125" s="262" t="str">
        <f t="shared" si="94"/>
        <v/>
      </c>
      <c r="T125" s="262" t="str">
        <f t="shared" si="95"/>
        <v/>
      </c>
      <c r="U125" s="262" t="str">
        <f t="shared" si="96"/>
        <v/>
      </c>
      <c r="V125" s="264" t="str">
        <f t="shared" si="97"/>
        <v/>
      </c>
    </row>
    <row r="126" spans="1:22" x14ac:dyDescent="0.3">
      <c r="A126" s="282">
        <f>7</f>
        <v>7</v>
      </c>
      <c r="B126" s="38"/>
      <c r="C126" s="38"/>
      <c r="D126" s="276"/>
      <c r="E126" s="277"/>
      <c r="F126" s="38"/>
      <c r="G126" s="38"/>
      <c r="H126" s="261">
        <f t="shared" si="84"/>
        <v>0</v>
      </c>
      <c r="I126" s="260">
        <f t="shared" si="85"/>
        <v>0</v>
      </c>
      <c r="J126" s="260">
        <f t="shared" si="86"/>
        <v>0</v>
      </c>
      <c r="K126" s="260">
        <f t="shared" si="87"/>
        <v>0</v>
      </c>
      <c r="L126" s="260" t="str">
        <f t="shared" si="88"/>
        <v/>
      </c>
      <c r="M126" s="262" t="str">
        <f t="shared" si="89"/>
        <v/>
      </c>
      <c r="N126" s="261" t="str">
        <f t="shared" si="90"/>
        <v/>
      </c>
      <c r="O126" s="262" t="str">
        <f t="shared" si="91"/>
        <v/>
      </c>
      <c r="P126" s="262" t="str">
        <f t="shared" si="92"/>
        <v/>
      </c>
      <c r="Q126" s="262" t="str">
        <f t="shared" si="93"/>
        <v/>
      </c>
      <c r="R126" s="258"/>
      <c r="S126" s="262" t="str">
        <f t="shared" si="94"/>
        <v/>
      </c>
      <c r="T126" s="262" t="str">
        <f t="shared" si="95"/>
        <v/>
      </c>
      <c r="U126" s="262" t="str">
        <f t="shared" si="96"/>
        <v/>
      </c>
      <c r="V126" s="264" t="str">
        <f t="shared" si="97"/>
        <v/>
      </c>
    </row>
    <row r="127" spans="1:22" x14ac:dyDescent="0.3">
      <c r="A127" s="282">
        <f>7</f>
        <v>7</v>
      </c>
      <c r="B127" s="38"/>
      <c r="C127" s="38"/>
      <c r="D127" s="276"/>
      <c r="E127" s="277"/>
      <c r="F127" s="38"/>
      <c r="G127" s="38"/>
      <c r="H127" s="261">
        <f t="shared" si="84"/>
        <v>0</v>
      </c>
      <c r="I127" s="260">
        <f t="shared" si="85"/>
        <v>0</v>
      </c>
      <c r="J127" s="260">
        <f t="shared" si="86"/>
        <v>0</v>
      </c>
      <c r="K127" s="260">
        <f t="shared" si="87"/>
        <v>0</v>
      </c>
      <c r="L127" s="260" t="str">
        <f t="shared" si="88"/>
        <v/>
      </c>
      <c r="M127" s="262" t="str">
        <f t="shared" si="89"/>
        <v/>
      </c>
      <c r="N127" s="261" t="str">
        <f t="shared" si="90"/>
        <v/>
      </c>
      <c r="O127" s="262" t="str">
        <f t="shared" si="91"/>
        <v/>
      </c>
      <c r="P127" s="262" t="str">
        <f t="shared" si="92"/>
        <v/>
      </c>
      <c r="Q127" s="262" t="str">
        <f t="shared" si="93"/>
        <v/>
      </c>
      <c r="R127" s="258"/>
      <c r="S127" s="262" t="str">
        <f t="shared" si="94"/>
        <v/>
      </c>
      <c r="T127" s="262" t="str">
        <f t="shared" si="95"/>
        <v/>
      </c>
      <c r="U127" s="262" t="str">
        <f t="shared" si="96"/>
        <v/>
      </c>
      <c r="V127" s="264" t="str">
        <f t="shared" si="97"/>
        <v/>
      </c>
    </row>
    <row r="128" spans="1:22" x14ac:dyDescent="0.3">
      <c r="A128" s="282">
        <f>7</f>
        <v>7</v>
      </c>
      <c r="B128" s="38"/>
      <c r="C128" s="38"/>
      <c r="D128" s="276"/>
      <c r="E128" s="277"/>
      <c r="F128" s="38"/>
      <c r="G128" s="38"/>
      <c r="H128" s="261">
        <f t="shared" si="84"/>
        <v>0</v>
      </c>
      <c r="I128" s="260">
        <f t="shared" si="85"/>
        <v>0</v>
      </c>
      <c r="J128" s="260">
        <f t="shared" si="86"/>
        <v>0</v>
      </c>
      <c r="K128" s="260">
        <f t="shared" si="87"/>
        <v>0</v>
      </c>
      <c r="L128" s="260" t="str">
        <f t="shared" si="88"/>
        <v/>
      </c>
      <c r="M128" s="262" t="str">
        <f t="shared" si="89"/>
        <v/>
      </c>
      <c r="N128" s="261" t="str">
        <f t="shared" si="90"/>
        <v/>
      </c>
      <c r="O128" s="262" t="str">
        <f t="shared" si="91"/>
        <v/>
      </c>
      <c r="P128" s="262" t="str">
        <f t="shared" si="92"/>
        <v/>
      </c>
      <c r="Q128" s="262" t="str">
        <f t="shared" si="93"/>
        <v/>
      </c>
      <c r="R128" s="258"/>
      <c r="S128" s="262" t="str">
        <f t="shared" si="94"/>
        <v/>
      </c>
      <c r="T128" s="262" t="str">
        <f t="shared" si="95"/>
        <v/>
      </c>
      <c r="U128" s="262" t="str">
        <f t="shared" si="96"/>
        <v/>
      </c>
      <c r="V128" s="264" t="str">
        <f t="shared" si="97"/>
        <v/>
      </c>
    </row>
    <row r="129" spans="1:22" x14ac:dyDescent="0.3">
      <c r="A129" s="282">
        <f>7</f>
        <v>7</v>
      </c>
      <c r="B129" s="38"/>
      <c r="C129" s="38"/>
      <c r="D129" s="276"/>
      <c r="E129" s="277"/>
      <c r="F129" s="38"/>
      <c r="G129" s="38"/>
      <c r="H129" s="261">
        <f t="shared" si="84"/>
        <v>0</v>
      </c>
      <c r="I129" s="260">
        <f t="shared" si="85"/>
        <v>0</v>
      </c>
      <c r="J129" s="260">
        <f t="shared" si="86"/>
        <v>0</v>
      </c>
      <c r="K129" s="260">
        <f t="shared" si="87"/>
        <v>0</v>
      </c>
      <c r="L129" s="260" t="str">
        <f t="shared" si="88"/>
        <v/>
      </c>
      <c r="M129" s="262" t="str">
        <f t="shared" si="89"/>
        <v/>
      </c>
      <c r="N129" s="261" t="str">
        <f t="shared" si="90"/>
        <v/>
      </c>
      <c r="O129" s="262" t="str">
        <f t="shared" si="91"/>
        <v/>
      </c>
      <c r="P129" s="262" t="str">
        <f t="shared" si="92"/>
        <v/>
      </c>
      <c r="Q129" s="262" t="str">
        <f t="shared" si="93"/>
        <v/>
      </c>
      <c r="R129" s="258"/>
      <c r="S129" s="262" t="str">
        <f t="shared" si="94"/>
        <v/>
      </c>
      <c r="T129" s="262" t="str">
        <f t="shared" si="95"/>
        <v/>
      </c>
      <c r="U129" s="262" t="str">
        <f t="shared" si="96"/>
        <v/>
      </c>
      <c r="V129" s="264" t="str">
        <f t="shared" si="97"/>
        <v/>
      </c>
    </row>
    <row r="130" spans="1:22" x14ac:dyDescent="0.3">
      <c r="A130" s="282">
        <f>7</f>
        <v>7</v>
      </c>
      <c r="B130" s="38"/>
      <c r="C130" s="38"/>
      <c r="D130" s="276"/>
      <c r="E130" s="277"/>
      <c r="F130" s="38"/>
      <c r="G130" s="38"/>
      <c r="H130" s="261">
        <f t="shared" si="84"/>
        <v>0</v>
      </c>
      <c r="I130" s="260">
        <f t="shared" si="85"/>
        <v>0</v>
      </c>
      <c r="J130" s="260">
        <f t="shared" si="86"/>
        <v>0</v>
      </c>
      <c r="K130" s="260">
        <f t="shared" si="87"/>
        <v>0</v>
      </c>
      <c r="L130" s="260" t="str">
        <f t="shared" si="88"/>
        <v/>
      </c>
      <c r="M130" s="262" t="str">
        <f t="shared" si="89"/>
        <v/>
      </c>
      <c r="N130" s="261" t="str">
        <f t="shared" si="90"/>
        <v/>
      </c>
      <c r="O130" s="262" t="str">
        <f t="shared" si="91"/>
        <v/>
      </c>
      <c r="P130" s="262" t="str">
        <f t="shared" si="92"/>
        <v/>
      </c>
      <c r="Q130" s="262" t="str">
        <f t="shared" si="93"/>
        <v/>
      </c>
      <c r="R130" s="258"/>
      <c r="S130" s="262" t="str">
        <f t="shared" si="94"/>
        <v/>
      </c>
      <c r="T130" s="262" t="str">
        <f t="shared" si="95"/>
        <v/>
      </c>
      <c r="U130" s="262" t="str">
        <f t="shared" si="96"/>
        <v/>
      </c>
      <c r="V130" s="264" t="str">
        <f t="shared" si="97"/>
        <v/>
      </c>
    </row>
    <row r="131" spans="1:22" x14ac:dyDescent="0.3">
      <c r="A131" s="282">
        <f>7</f>
        <v>7</v>
      </c>
      <c r="B131" s="38"/>
      <c r="C131" s="38"/>
      <c r="D131" s="276"/>
      <c r="E131" s="277"/>
      <c r="F131" s="38"/>
      <c r="G131" s="38"/>
      <c r="H131" s="261">
        <f t="shared" si="84"/>
        <v>0</v>
      </c>
      <c r="I131" s="260">
        <f t="shared" si="85"/>
        <v>0</v>
      </c>
      <c r="J131" s="260">
        <f t="shared" si="86"/>
        <v>0</v>
      </c>
      <c r="K131" s="260">
        <f t="shared" si="87"/>
        <v>0</v>
      </c>
      <c r="L131" s="260" t="str">
        <f t="shared" si="88"/>
        <v/>
      </c>
      <c r="M131" s="262" t="str">
        <f t="shared" si="89"/>
        <v/>
      </c>
      <c r="N131" s="261" t="str">
        <f t="shared" si="90"/>
        <v/>
      </c>
      <c r="O131" s="262" t="str">
        <f t="shared" si="91"/>
        <v/>
      </c>
      <c r="P131" s="262" t="str">
        <f t="shared" si="92"/>
        <v/>
      </c>
      <c r="Q131" s="262" t="str">
        <f t="shared" si="93"/>
        <v/>
      </c>
      <c r="R131" s="258"/>
      <c r="S131" s="262" t="str">
        <f t="shared" si="94"/>
        <v/>
      </c>
      <c r="T131" s="262" t="str">
        <f t="shared" si="95"/>
        <v/>
      </c>
      <c r="U131" s="262" t="str">
        <f t="shared" si="96"/>
        <v/>
      </c>
      <c r="V131" s="264" t="str">
        <f t="shared" si="97"/>
        <v/>
      </c>
    </row>
    <row r="132" spans="1:22" x14ac:dyDescent="0.3">
      <c r="A132" s="282">
        <f>7</f>
        <v>7</v>
      </c>
      <c r="B132" s="38"/>
      <c r="C132" s="38"/>
      <c r="D132" s="276"/>
      <c r="E132" s="277"/>
      <c r="F132" s="38"/>
      <c r="G132" s="38"/>
      <c r="H132" s="261">
        <f t="shared" si="84"/>
        <v>0</v>
      </c>
      <c r="I132" s="260">
        <f t="shared" si="85"/>
        <v>0</v>
      </c>
      <c r="J132" s="260">
        <f t="shared" si="86"/>
        <v>0</v>
      </c>
      <c r="K132" s="260">
        <f t="shared" si="87"/>
        <v>0</v>
      </c>
      <c r="L132" s="260" t="str">
        <f t="shared" si="88"/>
        <v/>
      </c>
      <c r="M132" s="262" t="str">
        <f t="shared" si="89"/>
        <v/>
      </c>
      <c r="N132" s="261" t="str">
        <f t="shared" si="90"/>
        <v/>
      </c>
      <c r="O132" s="262" t="str">
        <f t="shared" si="91"/>
        <v/>
      </c>
      <c r="P132" s="262" t="str">
        <f t="shared" si="92"/>
        <v/>
      </c>
      <c r="Q132" s="262" t="str">
        <f t="shared" si="93"/>
        <v/>
      </c>
      <c r="R132" s="258"/>
      <c r="S132" s="262" t="str">
        <f t="shared" si="94"/>
        <v/>
      </c>
      <c r="T132" s="262" t="str">
        <f t="shared" si="95"/>
        <v/>
      </c>
      <c r="U132" s="262" t="str">
        <f t="shared" si="96"/>
        <v/>
      </c>
      <c r="V132" s="264" t="str">
        <f t="shared" si="97"/>
        <v/>
      </c>
    </row>
    <row r="133" spans="1:22" x14ac:dyDescent="0.3">
      <c r="B133" s="4" t="s">
        <v>139</v>
      </c>
      <c r="C133" s="4"/>
      <c r="D133" s="4"/>
      <c r="E133" s="253">
        <f>COUNT(B123:B132)</f>
        <v>0</v>
      </c>
      <c r="F133" s="28"/>
      <c r="G133" s="28"/>
      <c r="H133" s="28"/>
      <c r="I133" s="72"/>
      <c r="J133" s="72"/>
      <c r="K133" s="36"/>
      <c r="L133" s="93"/>
      <c r="M133" s="93"/>
      <c r="N133" s="12"/>
      <c r="O133" s="12"/>
      <c r="P133" s="254">
        <f>SUM(P123:P132)</f>
        <v>0</v>
      </c>
      <c r="Q133" s="254">
        <f>SUM(Q123:Q132)</f>
        <v>0</v>
      </c>
      <c r="S133" s="254">
        <f>SUM(S123:S132)</f>
        <v>0</v>
      </c>
      <c r="T133" s="256">
        <f>SUM(T123:T132)</f>
        <v>0</v>
      </c>
      <c r="U133" s="256">
        <f>SUM(U123:U132)</f>
        <v>0</v>
      </c>
      <c r="V133" s="256">
        <f>SUM(V123:V132)</f>
        <v>0</v>
      </c>
    </row>
    <row r="134" spans="1:22" x14ac:dyDescent="0.3">
      <c r="S134" s="93"/>
    </row>
    <row r="135" spans="1:22" x14ac:dyDescent="0.3">
      <c r="A135" s="4"/>
      <c r="B135" s="4"/>
      <c r="C135" s="4"/>
      <c r="D135" s="4"/>
      <c r="E135" s="4"/>
      <c r="F135" s="4"/>
      <c r="G135" s="4"/>
      <c r="H135" s="4"/>
      <c r="I135" s="4"/>
      <c r="J135" s="4"/>
      <c r="K135" s="4"/>
      <c r="L135" s="4"/>
      <c r="M135" s="4"/>
      <c r="N135" s="4"/>
      <c r="O135" s="4"/>
      <c r="P135" s="4"/>
      <c r="Q135" s="4"/>
      <c r="R135" s="4"/>
      <c r="S135" s="4"/>
      <c r="T135" s="4"/>
      <c r="U135" s="4"/>
      <c r="V135" s="4"/>
    </row>
    <row r="136" spans="1:22" x14ac:dyDescent="0.3">
      <c r="A136" s="4"/>
      <c r="B136" s="4"/>
      <c r="C136" s="4"/>
      <c r="D136" s="4"/>
      <c r="E136" s="4"/>
      <c r="F136" s="4"/>
      <c r="G136" s="4"/>
      <c r="H136" s="4"/>
      <c r="I136" s="4"/>
      <c r="J136" s="4"/>
      <c r="K136" s="4"/>
      <c r="L136" s="4"/>
      <c r="M136" s="4"/>
      <c r="N136" s="4"/>
      <c r="O136" s="4"/>
      <c r="P136" s="4"/>
      <c r="Q136" s="4"/>
      <c r="R136" s="4"/>
      <c r="S136" s="4"/>
      <c r="T136" s="4"/>
      <c r="U136" s="4"/>
      <c r="V136" s="4"/>
    </row>
    <row r="137" spans="1:22" x14ac:dyDescent="0.3">
      <c r="B137" s="323"/>
      <c r="C137" s="250" t="s">
        <v>826</v>
      </c>
      <c r="D137" s="402"/>
      <c r="E137" s="403"/>
      <c r="F137" s="250" t="s">
        <v>825</v>
      </c>
      <c r="G137" s="356"/>
      <c r="I137" s="12"/>
      <c r="L137" s="93"/>
      <c r="M137" s="93"/>
      <c r="O137" s="95"/>
      <c r="P137" s="245" t="s">
        <v>792</v>
      </c>
      <c r="Q137" s="87"/>
      <c r="R137" s="3"/>
      <c r="S137" s="35"/>
      <c r="T137" s="243" t="s">
        <v>827</v>
      </c>
      <c r="U137" s="259"/>
      <c r="V137" s="255"/>
    </row>
    <row r="138" spans="1:22" ht="34.5" x14ac:dyDescent="0.3">
      <c r="A138" s="266" t="s">
        <v>135</v>
      </c>
      <c r="B138" s="335" t="s">
        <v>143</v>
      </c>
      <c r="C138" s="272" t="s">
        <v>412</v>
      </c>
      <c r="D138" s="274" t="s">
        <v>1031</v>
      </c>
      <c r="E138" s="275" t="s">
        <v>157</v>
      </c>
      <c r="F138" s="269" t="s">
        <v>1029</v>
      </c>
      <c r="G138" s="269" t="s">
        <v>1030</v>
      </c>
      <c r="H138" s="335" t="s">
        <v>413</v>
      </c>
      <c r="I138" s="335" t="s">
        <v>414</v>
      </c>
      <c r="J138" s="335" t="s">
        <v>829</v>
      </c>
      <c r="K138" s="335" t="s">
        <v>830</v>
      </c>
      <c r="L138" s="335" t="s">
        <v>795</v>
      </c>
      <c r="M138" s="335" t="s">
        <v>409</v>
      </c>
      <c r="N138" s="335" t="s">
        <v>153</v>
      </c>
      <c r="O138" s="269" t="s">
        <v>796</v>
      </c>
      <c r="P138" s="269" t="s">
        <v>159</v>
      </c>
      <c r="Q138" s="269" t="s">
        <v>160</v>
      </c>
      <c r="R138" s="257" t="s">
        <v>824</v>
      </c>
      <c r="S138" s="269" t="s">
        <v>137</v>
      </c>
      <c r="T138" s="269" t="s">
        <v>138</v>
      </c>
      <c r="U138" s="269" t="s">
        <v>161</v>
      </c>
      <c r="V138" s="278" t="s">
        <v>162</v>
      </c>
    </row>
    <row r="139" spans="1:22" x14ac:dyDescent="0.3">
      <c r="A139" s="282">
        <f>8</f>
        <v>8</v>
      </c>
      <c r="B139" s="38"/>
      <c r="C139" s="38"/>
      <c r="D139" s="276"/>
      <c r="E139" s="277"/>
      <c r="F139" s="38"/>
      <c r="G139" s="38"/>
      <c r="H139" s="261">
        <f t="shared" ref="H139:H148" si="98">D139*0.5</f>
        <v>0</v>
      </c>
      <c r="I139" s="260">
        <f t="shared" ref="I139:I148" si="99">(PI()*(H139*H139)*C139)/1000</f>
        <v>0</v>
      </c>
      <c r="J139" s="260">
        <f t="shared" ref="J139:J148" si="100">((PI()*(F139*0.5)*(G139*0.5)*E139)/3)/1000</f>
        <v>0</v>
      </c>
      <c r="K139" s="260">
        <f t="shared" ref="K139:K148" si="101">(((E139*F139)*G139)*0.5)/1000</f>
        <v>0</v>
      </c>
      <c r="L139" s="260" t="str">
        <f t="shared" ref="L139:L148" si="102">IFERROR(IF(VLOOKUP(B139,UdoteaInitialMetrics,2,FALSE) = "Vase-shaped", (I139+J139), IF(VLOOKUP(B139, UdoteaInitialMetrics,2,FALSE) = "Fan-shaped", (I139+K139), "")),"")</f>
        <v/>
      </c>
      <c r="M139" s="262" t="str">
        <f t="shared" ref="M139:M148" si="103">IF(B139=1,$E$11,IF(B139=2,$E$12,IF(B139=3,0,IF(B139=4,0,""))))</f>
        <v/>
      </c>
      <c r="N139" s="261" t="str">
        <f t="shared" ref="N139:N148" si="104">IF(B139=1,$H$11,IF(B139=2,$H$12,IF(B139=3,$H$13,IF(B139=4,$H$14,""))))</f>
        <v/>
      </c>
      <c r="O139" s="262" t="str">
        <f t="shared" ref="O139:O148" si="105">IFERROR((L139*M139)*N139, "")</f>
        <v/>
      </c>
      <c r="P139" s="262" t="str">
        <f t="shared" ref="P139:P148" si="106">IFERROR(O139*(1/$B$6), "")</f>
        <v/>
      </c>
      <c r="Q139" s="262" t="str">
        <f t="shared" ref="Q139:Q148" si="107">IFERROR(P139/1000,"")</f>
        <v/>
      </c>
      <c r="R139" s="258"/>
      <c r="S139" s="262" t="str">
        <f t="shared" ref="S139:S148" si="108">IF(B139=1, Q139,"")</f>
        <v/>
      </c>
      <c r="T139" s="262" t="str">
        <f t="shared" ref="T139:T148" si="109">IF(B139=2, Q139,"")</f>
        <v/>
      </c>
      <c r="U139" s="262" t="str">
        <f t="shared" ref="U139:U148" si="110">IF(B139=3, Q139,"")</f>
        <v/>
      </c>
      <c r="V139" s="264" t="str">
        <f t="shared" ref="V139:V148" si="111">IF(B139=4, Q139,"")</f>
        <v/>
      </c>
    </row>
    <row r="140" spans="1:22" x14ac:dyDescent="0.3">
      <c r="A140" s="282">
        <f>8</f>
        <v>8</v>
      </c>
      <c r="B140" s="38"/>
      <c r="C140" s="38"/>
      <c r="D140" s="276"/>
      <c r="E140" s="277"/>
      <c r="F140" s="38"/>
      <c r="G140" s="38"/>
      <c r="H140" s="261">
        <f t="shared" si="98"/>
        <v>0</v>
      </c>
      <c r="I140" s="260">
        <f t="shared" si="99"/>
        <v>0</v>
      </c>
      <c r="J140" s="260">
        <f t="shared" si="100"/>
        <v>0</v>
      </c>
      <c r="K140" s="260">
        <f t="shared" si="101"/>
        <v>0</v>
      </c>
      <c r="L140" s="260" t="str">
        <f t="shared" si="102"/>
        <v/>
      </c>
      <c r="M140" s="262" t="str">
        <f t="shared" si="103"/>
        <v/>
      </c>
      <c r="N140" s="261" t="str">
        <f t="shared" si="104"/>
        <v/>
      </c>
      <c r="O140" s="262" t="str">
        <f t="shared" si="105"/>
        <v/>
      </c>
      <c r="P140" s="262" t="str">
        <f t="shared" si="106"/>
        <v/>
      </c>
      <c r="Q140" s="262" t="str">
        <f t="shared" si="107"/>
        <v/>
      </c>
      <c r="R140" s="258"/>
      <c r="S140" s="262" t="str">
        <f t="shared" si="108"/>
        <v/>
      </c>
      <c r="T140" s="262" t="str">
        <f t="shared" si="109"/>
        <v/>
      </c>
      <c r="U140" s="262" t="str">
        <f t="shared" si="110"/>
        <v/>
      </c>
      <c r="V140" s="264" t="str">
        <f t="shared" si="111"/>
        <v/>
      </c>
    </row>
    <row r="141" spans="1:22" x14ac:dyDescent="0.3">
      <c r="A141" s="282">
        <f>8</f>
        <v>8</v>
      </c>
      <c r="B141" s="38"/>
      <c r="C141" s="38"/>
      <c r="D141" s="276"/>
      <c r="E141" s="277"/>
      <c r="F141" s="38"/>
      <c r="G141" s="38"/>
      <c r="H141" s="261">
        <f t="shared" si="98"/>
        <v>0</v>
      </c>
      <c r="I141" s="260">
        <f t="shared" si="99"/>
        <v>0</v>
      </c>
      <c r="J141" s="260">
        <f t="shared" si="100"/>
        <v>0</v>
      </c>
      <c r="K141" s="260">
        <f t="shared" si="101"/>
        <v>0</v>
      </c>
      <c r="L141" s="260" t="str">
        <f t="shared" si="102"/>
        <v/>
      </c>
      <c r="M141" s="262" t="str">
        <f t="shared" si="103"/>
        <v/>
      </c>
      <c r="N141" s="261" t="str">
        <f t="shared" si="104"/>
        <v/>
      </c>
      <c r="O141" s="262" t="str">
        <f t="shared" si="105"/>
        <v/>
      </c>
      <c r="P141" s="262" t="str">
        <f t="shared" si="106"/>
        <v/>
      </c>
      <c r="Q141" s="262" t="str">
        <f t="shared" si="107"/>
        <v/>
      </c>
      <c r="R141" s="258"/>
      <c r="S141" s="262" t="str">
        <f t="shared" si="108"/>
        <v/>
      </c>
      <c r="T141" s="262" t="str">
        <f t="shared" si="109"/>
        <v/>
      </c>
      <c r="U141" s="262" t="str">
        <f t="shared" si="110"/>
        <v/>
      </c>
      <c r="V141" s="264" t="str">
        <f t="shared" si="111"/>
        <v/>
      </c>
    </row>
    <row r="142" spans="1:22" x14ac:dyDescent="0.3">
      <c r="A142" s="282">
        <f>8</f>
        <v>8</v>
      </c>
      <c r="B142" s="38"/>
      <c r="C142" s="38"/>
      <c r="D142" s="276"/>
      <c r="E142" s="277"/>
      <c r="F142" s="38"/>
      <c r="G142" s="38"/>
      <c r="H142" s="261">
        <f t="shared" si="98"/>
        <v>0</v>
      </c>
      <c r="I142" s="260">
        <f t="shared" si="99"/>
        <v>0</v>
      </c>
      <c r="J142" s="260">
        <f t="shared" si="100"/>
        <v>0</v>
      </c>
      <c r="K142" s="260">
        <f t="shared" si="101"/>
        <v>0</v>
      </c>
      <c r="L142" s="260" t="str">
        <f t="shared" si="102"/>
        <v/>
      </c>
      <c r="M142" s="262" t="str">
        <f t="shared" si="103"/>
        <v/>
      </c>
      <c r="N142" s="261" t="str">
        <f t="shared" si="104"/>
        <v/>
      </c>
      <c r="O142" s="262" t="str">
        <f t="shared" si="105"/>
        <v/>
      </c>
      <c r="P142" s="262" t="str">
        <f t="shared" si="106"/>
        <v/>
      </c>
      <c r="Q142" s="262" t="str">
        <f t="shared" si="107"/>
        <v/>
      </c>
      <c r="R142" s="258"/>
      <c r="S142" s="262" t="str">
        <f t="shared" si="108"/>
        <v/>
      </c>
      <c r="T142" s="262" t="str">
        <f t="shared" si="109"/>
        <v/>
      </c>
      <c r="U142" s="262" t="str">
        <f t="shared" si="110"/>
        <v/>
      </c>
      <c r="V142" s="264" t="str">
        <f t="shared" si="111"/>
        <v/>
      </c>
    </row>
    <row r="143" spans="1:22" x14ac:dyDescent="0.3">
      <c r="A143" s="282">
        <f>8</f>
        <v>8</v>
      </c>
      <c r="B143" s="38"/>
      <c r="C143" s="38"/>
      <c r="D143" s="276"/>
      <c r="E143" s="277"/>
      <c r="F143" s="38"/>
      <c r="G143" s="38"/>
      <c r="H143" s="261">
        <f t="shared" si="98"/>
        <v>0</v>
      </c>
      <c r="I143" s="260">
        <f t="shared" si="99"/>
        <v>0</v>
      </c>
      <c r="J143" s="260">
        <f t="shared" si="100"/>
        <v>0</v>
      </c>
      <c r="K143" s="260">
        <f t="shared" si="101"/>
        <v>0</v>
      </c>
      <c r="L143" s="260" t="str">
        <f t="shared" si="102"/>
        <v/>
      </c>
      <c r="M143" s="262" t="str">
        <f t="shared" si="103"/>
        <v/>
      </c>
      <c r="N143" s="261" t="str">
        <f t="shared" si="104"/>
        <v/>
      </c>
      <c r="O143" s="262" t="str">
        <f t="shared" si="105"/>
        <v/>
      </c>
      <c r="P143" s="262" t="str">
        <f t="shared" si="106"/>
        <v/>
      </c>
      <c r="Q143" s="262" t="str">
        <f t="shared" si="107"/>
        <v/>
      </c>
      <c r="R143" s="258"/>
      <c r="S143" s="262" t="str">
        <f t="shared" si="108"/>
        <v/>
      </c>
      <c r="T143" s="262" t="str">
        <f t="shared" si="109"/>
        <v/>
      </c>
      <c r="U143" s="262" t="str">
        <f t="shared" si="110"/>
        <v/>
      </c>
      <c r="V143" s="264" t="str">
        <f t="shared" si="111"/>
        <v/>
      </c>
    </row>
    <row r="144" spans="1:22" x14ac:dyDescent="0.3">
      <c r="A144" s="282">
        <f>8</f>
        <v>8</v>
      </c>
      <c r="B144" s="38"/>
      <c r="C144" s="38"/>
      <c r="D144" s="276"/>
      <c r="E144" s="277"/>
      <c r="F144" s="38"/>
      <c r="G144" s="38"/>
      <c r="H144" s="261">
        <f t="shared" si="98"/>
        <v>0</v>
      </c>
      <c r="I144" s="260">
        <f t="shared" si="99"/>
        <v>0</v>
      </c>
      <c r="J144" s="260">
        <f t="shared" si="100"/>
        <v>0</v>
      </c>
      <c r="K144" s="260">
        <f t="shared" si="101"/>
        <v>0</v>
      </c>
      <c r="L144" s="260" t="str">
        <f t="shared" si="102"/>
        <v/>
      </c>
      <c r="M144" s="262" t="str">
        <f t="shared" si="103"/>
        <v/>
      </c>
      <c r="N144" s="261" t="str">
        <f t="shared" si="104"/>
        <v/>
      </c>
      <c r="O144" s="262" t="str">
        <f t="shared" si="105"/>
        <v/>
      </c>
      <c r="P144" s="262" t="str">
        <f t="shared" si="106"/>
        <v/>
      </c>
      <c r="Q144" s="262" t="str">
        <f t="shared" si="107"/>
        <v/>
      </c>
      <c r="R144" s="258"/>
      <c r="S144" s="262" t="str">
        <f t="shared" si="108"/>
        <v/>
      </c>
      <c r="T144" s="262" t="str">
        <f t="shared" si="109"/>
        <v/>
      </c>
      <c r="U144" s="262" t="str">
        <f t="shared" si="110"/>
        <v/>
      </c>
      <c r="V144" s="264" t="str">
        <f t="shared" si="111"/>
        <v/>
      </c>
    </row>
    <row r="145" spans="1:22" x14ac:dyDescent="0.3">
      <c r="A145" s="282">
        <f>8</f>
        <v>8</v>
      </c>
      <c r="B145" s="38"/>
      <c r="C145" s="38"/>
      <c r="D145" s="276"/>
      <c r="E145" s="277"/>
      <c r="F145" s="38"/>
      <c r="G145" s="38"/>
      <c r="H145" s="261">
        <f t="shared" si="98"/>
        <v>0</v>
      </c>
      <c r="I145" s="260">
        <f t="shared" si="99"/>
        <v>0</v>
      </c>
      <c r="J145" s="260">
        <f t="shared" si="100"/>
        <v>0</v>
      </c>
      <c r="K145" s="260">
        <f t="shared" si="101"/>
        <v>0</v>
      </c>
      <c r="L145" s="260" t="str">
        <f t="shared" si="102"/>
        <v/>
      </c>
      <c r="M145" s="262" t="str">
        <f t="shared" si="103"/>
        <v/>
      </c>
      <c r="N145" s="261" t="str">
        <f t="shared" si="104"/>
        <v/>
      </c>
      <c r="O145" s="262" t="str">
        <f t="shared" si="105"/>
        <v/>
      </c>
      <c r="P145" s="262" t="str">
        <f t="shared" si="106"/>
        <v/>
      </c>
      <c r="Q145" s="262" t="str">
        <f t="shared" si="107"/>
        <v/>
      </c>
      <c r="R145" s="258"/>
      <c r="S145" s="262" t="str">
        <f t="shared" si="108"/>
        <v/>
      </c>
      <c r="T145" s="262" t="str">
        <f t="shared" si="109"/>
        <v/>
      </c>
      <c r="U145" s="262" t="str">
        <f t="shared" si="110"/>
        <v/>
      </c>
      <c r="V145" s="264" t="str">
        <f t="shared" si="111"/>
        <v/>
      </c>
    </row>
    <row r="146" spans="1:22" x14ac:dyDescent="0.3">
      <c r="A146" s="282">
        <f>8</f>
        <v>8</v>
      </c>
      <c r="B146" s="38"/>
      <c r="C146" s="38"/>
      <c r="D146" s="276"/>
      <c r="E146" s="277"/>
      <c r="F146" s="38"/>
      <c r="G146" s="38"/>
      <c r="H146" s="261">
        <f t="shared" si="98"/>
        <v>0</v>
      </c>
      <c r="I146" s="260">
        <f t="shared" si="99"/>
        <v>0</v>
      </c>
      <c r="J146" s="260">
        <f t="shared" si="100"/>
        <v>0</v>
      </c>
      <c r="K146" s="260">
        <f t="shared" si="101"/>
        <v>0</v>
      </c>
      <c r="L146" s="260" t="str">
        <f t="shared" si="102"/>
        <v/>
      </c>
      <c r="M146" s="262" t="str">
        <f t="shared" si="103"/>
        <v/>
      </c>
      <c r="N146" s="261" t="str">
        <f t="shared" si="104"/>
        <v/>
      </c>
      <c r="O146" s="262" t="str">
        <f t="shared" si="105"/>
        <v/>
      </c>
      <c r="P146" s="262" t="str">
        <f t="shared" si="106"/>
        <v/>
      </c>
      <c r="Q146" s="262" t="str">
        <f t="shared" si="107"/>
        <v/>
      </c>
      <c r="R146" s="258"/>
      <c r="S146" s="262" t="str">
        <f t="shared" si="108"/>
        <v/>
      </c>
      <c r="T146" s="262" t="str">
        <f t="shared" si="109"/>
        <v/>
      </c>
      <c r="U146" s="262" t="str">
        <f t="shared" si="110"/>
        <v/>
      </c>
      <c r="V146" s="264" t="str">
        <f t="shared" si="111"/>
        <v/>
      </c>
    </row>
    <row r="147" spans="1:22" x14ac:dyDescent="0.3">
      <c r="A147" s="282">
        <f>8</f>
        <v>8</v>
      </c>
      <c r="B147" s="38"/>
      <c r="C147" s="38"/>
      <c r="D147" s="276"/>
      <c r="E147" s="277"/>
      <c r="F147" s="38"/>
      <c r="G147" s="38"/>
      <c r="H147" s="261">
        <f t="shared" si="98"/>
        <v>0</v>
      </c>
      <c r="I147" s="260">
        <f t="shared" si="99"/>
        <v>0</v>
      </c>
      <c r="J147" s="260">
        <f t="shared" si="100"/>
        <v>0</v>
      </c>
      <c r="K147" s="260">
        <f t="shared" si="101"/>
        <v>0</v>
      </c>
      <c r="L147" s="260" t="str">
        <f t="shared" si="102"/>
        <v/>
      </c>
      <c r="M147" s="262" t="str">
        <f t="shared" si="103"/>
        <v/>
      </c>
      <c r="N147" s="261" t="str">
        <f t="shared" si="104"/>
        <v/>
      </c>
      <c r="O147" s="262" t="str">
        <f t="shared" si="105"/>
        <v/>
      </c>
      <c r="P147" s="262" t="str">
        <f t="shared" si="106"/>
        <v/>
      </c>
      <c r="Q147" s="262" t="str">
        <f t="shared" si="107"/>
        <v/>
      </c>
      <c r="R147" s="258"/>
      <c r="S147" s="262" t="str">
        <f t="shared" si="108"/>
        <v/>
      </c>
      <c r="T147" s="262" t="str">
        <f t="shared" si="109"/>
        <v/>
      </c>
      <c r="U147" s="262" t="str">
        <f t="shared" si="110"/>
        <v/>
      </c>
      <c r="V147" s="264" t="str">
        <f t="shared" si="111"/>
        <v/>
      </c>
    </row>
    <row r="148" spans="1:22" x14ac:dyDescent="0.3">
      <c r="A148" s="282">
        <f>8</f>
        <v>8</v>
      </c>
      <c r="B148" s="38"/>
      <c r="C148" s="38"/>
      <c r="D148" s="276"/>
      <c r="E148" s="277"/>
      <c r="F148" s="38"/>
      <c r="G148" s="38"/>
      <c r="H148" s="261">
        <f t="shared" si="98"/>
        <v>0</v>
      </c>
      <c r="I148" s="260">
        <f t="shared" si="99"/>
        <v>0</v>
      </c>
      <c r="J148" s="260">
        <f t="shared" si="100"/>
        <v>0</v>
      </c>
      <c r="K148" s="260">
        <f t="shared" si="101"/>
        <v>0</v>
      </c>
      <c r="L148" s="260" t="str">
        <f t="shared" si="102"/>
        <v/>
      </c>
      <c r="M148" s="262" t="str">
        <f t="shared" si="103"/>
        <v/>
      </c>
      <c r="N148" s="261" t="str">
        <f t="shared" si="104"/>
        <v/>
      </c>
      <c r="O148" s="262" t="str">
        <f t="shared" si="105"/>
        <v/>
      </c>
      <c r="P148" s="262" t="str">
        <f t="shared" si="106"/>
        <v/>
      </c>
      <c r="Q148" s="262" t="str">
        <f t="shared" si="107"/>
        <v/>
      </c>
      <c r="R148" s="258"/>
      <c r="S148" s="262" t="str">
        <f t="shared" si="108"/>
        <v/>
      </c>
      <c r="T148" s="262" t="str">
        <f t="shared" si="109"/>
        <v/>
      </c>
      <c r="U148" s="262" t="str">
        <f t="shared" si="110"/>
        <v/>
      </c>
      <c r="V148" s="264" t="str">
        <f t="shared" si="111"/>
        <v/>
      </c>
    </row>
    <row r="149" spans="1:22" x14ac:dyDescent="0.3">
      <c r="B149" s="4" t="s">
        <v>139</v>
      </c>
      <c r="C149" s="4"/>
      <c r="D149" s="4"/>
      <c r="E149" s="253">
        <f>COUNT(B139:B148)</f>
        <v>0</v>
      </c>
      <c r="F149" s="28"/>
      <c r="G149" s="28"/>
      <c r="H149" s="28"/>
      <c r="I149" s="72"/>
      <c r="J149" s="72"/>
      <c r="K149" s="36"/>
      <c r="L149" s="93"/>
      <c r="M149" s="93"/>
      <c r="N149" s="12"/>
      <c r="O149" s="12"/>
      <c r="P149" s="254">
        <f>SUM(P139:P148)</f>
        <v>0</v>
      </c>
      <c r="Q149" s="254">
        <f>SUM(Q139:Q148)</f>
        <v>0</v>
      </c>
      <c r="S149" s="254">
        <f>SUM(S139:S148)</f>
        <v>0</v>
      </c>
      <c r="T149" s="256">
        <f>SUM(T139:T148)</f>
        <v>0</v>
      </c>
      <c r="U149" s="256">
        <f>SUM(U139:U148)</f>
        <v>0</v>
      </c>
      <c r="V149" s="256">
        <f>SUM(V139:V148)</f>
        <v>0</v>
      </c>
    </row>
    <row r="150" spans="1:22" x14ac:dyDescent="0.3">
      <c r="S150" s="93"/>
    </row>
    <row r="151" spans="1:22" x14ac:dyDescent="0.3">
      <c r="A151" s="4"/>
      <c r="B151" s="4"/>
      <c r="C151" s="4"/>
      <c r="D151" s="4"/>
      <c r="E151" s="4"/>
      <c r="F151" s="4"/>
      <c r="G151" s="4"/>
      <c r="H151" s="4"/>
      <c r="I151" s="4"/>
      <c r="J151" s="4"/>
      <c r="K151" s="4"/>
      <c r="L151" s="4"/>
      <c r="M151" s="4"/>
      <c r="N151" s="4"/>
      <c r="O151" s="4"/>
      <c r="P151" s="4"/>
      <c r="Q151" s="4"/>
      <c r="R151" s="4"/>
      <c r="S151" s="4"/>
      <c r="T151" s="4"/>
      <c r="U151" s="4"/>
      <c r="V151" s="4"/>
    </row>
    <row r="152" spans="1:22" x14ac:dyDescent="0.3">
      <c r="A152" s="4"/>
      <c r="B152" s="4"/>
      <c r="C152" s="4"/>
      <c r="D152" s="4"/>
      <c r="E152" s="4"/>
      <c r="F152" s="4"/>
      <c r="G152" s="4"/>
      <c r="H152" s="4"/>
      <c r="I152" s="4"/>
      <c r="J152" s="4"/>
      <c r="K152" s="4"/>
      <c r="L152" s="4"/>
      <c r="M152" s="4"/>
      <c r="N152" s="4"/>
      <c r="O152" s="4"/>
      <c r="P152" s="4"/>
      <c r="Q152" s="4"/>
      <c r="R152" s="4"/>
      <c r="S152" s="4"/>
      <c r="T152" s="4"/>
      <c r="U152" s="4"/>
      <c r="V152" s="4"/>
    </row>
    <row r="153" spans="1:22" x14ac:dyDescent="0.3">
      <c r="B153" s="323"/>
      <c r="C153" s="250" t="s">
        <v>826</v>
      </c>
      <c r="D153" s="402"/>
      <c r="E153" s="403"/>
      <c r="F153" s="250" t="s">
        <v>825</v>
      </c>
      <c r="G153" s="356"/>
      <c r="I153" s="12"/>
      <c r="L153" s="93"/>
      <c r="M153" s="93"/>
      <c r="O153" s="95"/>
      <c r="P153" s="245" t="s">
        <v>792</v>
      </c>
      <c r="Q153" s="87"/>
      <c r="R153" s="3"/>
      <c r="S153" s="35"/>
      <c r="T153" s="243" t="s">
        <v>827</v>
      </c>
      <c r="U153" s="259"/>
      <c r="V153" s="255"/>
    </row>
    <row r="154" spans="1:22" ht="34.5" x14ac:dyDescent="0.3">
      <c r="A154" s="266" t="s">
        <v>135</v>
      </c>
      <c r="B154" s="335" t="s">
        <v>143</v>
      </c>
      <c r="C154" s="272" t="s">
        <v>412</v>
      </c>
      <c r="D154" s="274" t="s">
        <v>1031</v>
      </c>
      <c r="E154" s="275" t="s">
        <v>157</v>
      </c>
      <c r="F154" s="269" t="s">
        <v>1029</v>
      </c>
      <c r="G154" s="269" t="s">
        <v>1030</v>
      </c>
      <c r="H154" s="335" t="s">
        <v>413</v>
      </c>
      <c r="I154" s="335" t="s">
        <v>414</v>
      </c>
      <c r="J154" s="335" t="s">
        <v>829</v>
      </c>
      <c r="K154" s="335" t="s">
        <v>830</v>
      </c>
      <c r="L154" s="335" t="s">
        <v>795</v>
      </c>
      <c r="M154" s="335" t="s">
        <v>409</v>
      </c>
      <c r="N154" s="335" t="s">
        <v>153</v>
      </c>
      <c r="O154" s="269" t="s">
        <v>796</v>
      </c>
      <c r="P154" s="269" t="s">
        <v>159</v>
      </c>
      <c r="Q154" s="269" t="s">
        <v>160</v>
      </c>
      <c r="R154" s="257" t="s">
        <v>824</v>
      </c>
      <c r="S154" s="269" t="s">
        <v>137</v>
      </c>
      <c r="T154" s="269" t="s">
        <v>138</v>
      </c>
      <c r="U154" s="269" t="s">
        <v>161</v>
      </c>
      <c r="V154" s="278" t="s">
        <v>162</v>
      </c>
    </row>
    <row r="155" spans="1:22" x14ac:dyDescent="0.3">
      <c r="A155" s="282">
        <f>9</f>
        <v>9</v>
      </c>
      <c r="B155" s="38"/>
      <c r="C155" s="38"/>
      <c r="D155" s="276"/>
      <c r="E155" s="277"/>
      <c r="F155" s="38"/>
      <c r="G155" s="38"/>
      <c r="H155" s="261">
        <f t="shared" ref="H155:H164" si="112">D155*0.5</f>
        <v>0</v>
      </c>
      <c r="I155" s="260">
        <f t="shared" ref="I155:I164" si="113">(PI()*(H155*H155)*C155)/1000</f>
        <v>0</v>
      </c>
      <c r="J155" s="260">
        <f t="shared" ref="J155:J164" si="114">((PI()*(F155*0.5)*(G155*0.5)*E155)/3)/1000</f>
        <v>0</v>
      </c>
      <c r="K155" s="260">
        <f t="shared" ref="K155:K164" si="115">(((E155*F155)*G155)*0.5)/1000</f>
        <v>0</v>
      </c>
      <c r="L155" s="260" t="str">
        <f t="shared" ref="L155:L164" si="116">IFERROR(IF(VLOOKUP(B155,UdoteaInitialMetrics,2,FALSE) = "Vase-shaped", (I155+J155), IF(VLOOKUP(B155, UdoteaInitialMetrics,2,FALSE) = "Fan-shaped", (I155+K155), "")),"")</f>
        <v/>
      </c>
      <c r="M155" s="262" t="str">
        <f t="shared" ref="M155:M164" si="117">IF(B155=1,$E$11,IF(B155=2,$E$12,IF(B155=3,0,IF(B155=4,0,""))))</f>
        <v/>
      </c>
      <c r="N155" s="261" t="str">
        <f t="shared" ref="N155:N164" si="118">IF(B155=1,$H$11,IF(B155=2,$H$12,IF(B155=3,$H$13,IF(B155=4,$H$14,""))))</f>
        <v/>
      </c>
      <c r="O155" s="262" t="str">
        <f t="shared" ref="O155:O164" si="119">IFERROR((L155*M155)*N155, "")</f>
        <v/>
      </c>
      <c r="P155" s="262" t="str">
        <f t="shared" ref="P155:P164" si="120">IFERROR(O155*(1/$B$6), "")</f>
        <v/>
      </c>
      <c r="Q155" s="262" t="str">
        <f t="shared" ref="Q155:Q164" si="121">IFERROR(P155/1000,"")</f>
        <v/>
      </c>
      <c r="R155" s="258"/>
      <c r="S155" s="262" t="str">
        <f t="shared" ref="S155:S164" si="122">IF(B155=1, Q155,"")</f>
        <v/>
      </c>
      <c r="T155" s="262" t="str">
        <f t="shared" ref="T155:T164" si="123">IF(B155=2, Q155,"")</f>
        <v/>
      </c>
      <c r="U155" s="262" t="str">
        <f t="shared" ref="U155:U164" si="124">IF(B155=3, Q155,"")</f>
        <v/>
      </c>
      <c r="V155" s="264" t="str">
        <f t="shared" ref="V155:V164" si="125">IF(B155=4, Q155,"")</f>
        <v/>
      </c>
    </row>
    <row r="156" spans="1:22" x14ac:dyDescent="0.3">
      <c r="A156" s="282">
        <f>9</f>
        <v>9</v>
      </c>
      <c r="B156" s="38"/>
      <c r="C156" s="38"/>
      <c r="D156" s="276"/>
      <c r="E156" s="277"/>
      <c r="F156" s="38"/>
      <c r="G156" s="38"/>
      <c r="H156" s="261">
        <f t="shared" si="112"/>
        <v>0</v>
      </c>
      <c r="I156" s="260">
        <f t="shared" si="113"/>
        <v>0</v>
      </c>
      <c r="J156" s="260">
        <f t="shared" si="114"/>
        <v>0</v>
      </c>
      <c r="K156" s="260">
        <f t="shared" si="115"/>
        <v>0</v>
      </c>
      <c r="L156" s="260" t="str">
        <f t="shared" si="116"/>
        <v/>
      </c>
      <c r="M156" s="262" t="str">
        <f t="shared" si="117"/>
        <v/>
      </c>
      <c r="N156" s="261" t="str">
        <f t="shared" si="118"/>
        <v/>
      </c>
      <c r="O156" s="262" t="str">
        <f t="shared" si="119"/>
        <v/>
      </c>
      <c r="P156" s="262" t="str">
        <f t="shared" si="120"/>
        <v/>
      </c>
      <c r="Q156" s="262" t="str">
        <f t="shared" si="121"/>
        <v/>
      </c>
      <c r="R156" s="258"/>
      <c r="S156" s="262" t="str">
        <f t="shared" si="122"/>
        <v/>
      </c>
      <c r="T156" s="262" t="str">
        <f t="shared" si="123"/>
        <v/>
      </c>
      <c r="U156" s="262" t="str">
        <f t="shared" si="124"/>
        <v/>
      </c>
      <c r="V156" s="264" t="str">
        <f t="shared" si="125"/>
        <v/>
      </c>
    </row>
    <row r="157" spans="1:22" x14ac:dyDescent="0.3">
      <c r="A157" s="282">
        <f>9</f>
        <v>9</v>
      </c>
      <c r="B157" s="38"/>
      <c r="C157" s="38"/>
      <c r="D157" s="276"/>
      <c r="E157" s="277"/>
      <c r="F157" s="38"/>
      <c r="G157" s="38"/>
      <c r="H157" s="261">
        <f t="shared" si="112"/>
        <v>0</v>
      </c>
      <c r="I157" s="260">
        <f t="shared" si="113"/>
        <v>0</v>
      </c>
      <c r="J157" s="260">
        <f t="shared" si="114"/>
        <v>0</v>
      </c>
      <c r="K157" s="260">
        <f t="shared" si="115"/>
        <v>0</v>
      </c>
      <c r="L157" s="260" t="str">
        <f t="shared" si="116"/>
        <v/>
      </c>
      <c r="M157" s="262" t="str">
        <f t="shared" si="117"/>
        <v/>
      </c>
      <c r="N157" s="261" t="str">
        <f t="shared" si="118"/>
        <v/>
      </c>
      <c r="O157" s="262" t="str">
        <f t="shared" si="119"/>
        <v/>
      </c>
      <c r="P157" s="262" t="str">
        <f t="shared" si="120"/>
        <v/>
      </c>
      <c r="Q157" s="262" t="str">
        <f t="shared" si="121"/>
        <v/>
      </c>
      <c r="R157" s="258"/>
      <c r="S157" s="262" t="str">
        <f t="shared" si="122"/>
        <v/>
      </c>
      <c r="T157" s="262" t="str">
        <f t="shared" si="123"/>
        <v/>
      </c>
      <c r="U157" s="262" t="str">
        <f t="shared" si="124"/>
        <v/>
      </c>
      <c r="V157" s="264" t="str">
        <f t="shared" si="125"/>
        <v/>
      </c>
    </row>
    <row r="158" spans="1:22" x14ac:dyDescent="0.3">
      <c r="A158" s="282">
        <f>9</f>
        <v>9</v>
      </c>
      <c r="B158" s="38"/>
      <c r="C158" s="38"/>
      <c r="D158" s="276"/>
      <c r="E158" s="277"/>
      <c r="F158" s="38"/>
      <c r="G158" s="38"/>
      <c r="H158" s="261">
        <f t="shared" si="112"/>
        <v>0</v>
      </c>
      <c r="I158" s="260">
        <f t="shared" si="113"/>
        <v>0</v>
      </c>
      <c r="J158" s="260">
        <f t="shared" si="114"/>
        <v>0</v>
      </c>
      <c r="K158" s="260">
        <f t="shared" si="115"/>
        <v>0</v>
      </c>
      <c r="L158" s="260" t="str">
        <f t="shared" si="116"/>
        <v/>
      </c>
      <c r="M158" s="262" t="str">
        <f t="shared" si="117"/>
        <v/>
      </c>
      <c r="N158" s="261" t="str">
        <f t="shared" si="118"/>
        <v/>
      </c>
      <c r="O158" s="262" t="str">
        <f t="shared" si="119"/>
        <v/>
      </c>
      <c r="P158" s="262" t="str">
        <f t="shared" si="120"/>
        <v/>
      </c>
      <c r="Q158" s="262" t="str">
        <f t="shared" si="121"/>
        <v/>
      </c>
      <c r="R158" s="258"/>
      <c r="S158" s="262" t="str">
        <f t="shared" si="122"/>
        <v/>
      </c>
      <c r="T158" s="262" t="str">
        <f t="shared" si="123"/>
        <v/>
      </c>
      <c r="U158" s="262" t="str">
        <f t="shared" si="124"/>
        <v/>
      </c>
      <c r="V158" s="264" t="str">
        <f t="shared" si="125"/>
        <v/>
      </c>
    </row>
    <row r="159" spans="1:22" x14ac:dyDescent="0.3">
      <c r="A159" s="282">
        <f>9</f>
        <v>9</v>
      </c>
      <c r="B159" s="38"/>
      <c r="C159" s="38"/>
      <c r="D159" s="276"/>
      <c r="E159" s="277"/>
      <c r="F159" s="38"/>
      <c r="G159" s="38"/>
      <c r="H159" s="261">
        <f t="shared" si="112"/>
        <v>0</v>
      </c>
      <c r="I159" s="260">
        <f t="shared" si="113"/>
        <v>0</v>
      </c>
      <c r="J159" s="260">
        <f t="shared" si="114"/>
        <v>0</v>
      </c>
      <c r="K159" s="260">
        <f t="shared" si="115"/>
        <v>0</v>
      </c>
      <c r="L159" s="260" t="str">
        <f t="shared" si="116"/>
        <v/>
      </c>
      <c r="M159" s="262" t="str">
        <f t="shared" si="117"/>
        <v/>
      </c>
      <c r="N159" s="261" t="str">
        <f t="shared" si="118"/>
        <v/>
      </c>
      <c r="O159" s="262" t="str">
        <f t="shared" si="119"/>
        <v/>
      </c>
      <c r="P159" s="262" t="str">
        <f t="shared" si="120"/>
        <v/>
      </c>
      <c r="Q159" s="262" t="str">
        <f t="shared" si="121"/>
        <v/>
      </c>
      <c r="R159" s="258"/>
      <c r="S159" s="262" t="str">
        <f t="shared" si="122"/>
        <v/>
      </c>
      <c r="T159" s="262" t="str">
        <f t="shared" si="123"/>
        <v/>
      </c>
      <c r="U159" s="262" t="str">
        <f t="shared" si="124"/>
        <v/>
      </c>
      <c r="V159" s="264" t="str">
        <f t="shared" si="125"/>
        <v/>
      </c>
    </row>
    <row r="160" spans="1:22" x14ac:dyDescent="0.3">
      <c r="A160" s="282">
        <f>9</f>
        <v>9</v>
      </c>
      <c r="B160" s="38"/>
      <c r="C160" s="38"/>
      <c r="D160" s="276"/>
      <c r="E160" s="277"/>
      <c r="F160" s="38"/>
      <c r="G160" s="38"/>
      <c r="H160" s="261">
        <f t="shared" si="112"/>
        <v>0</v>
      </c>
      <c r="I160" s="260">
        <f t="shared" si="113"/>
        <v>0</v>
      </c>
      <c r="J160" s="260">
        <f t="shared" si="114"/>
        <v>0</v>
      </c>
      <c r="K160" s="260">
        <f t="shared" si="115"/>
        <v>0</v>
      </c>
      <c r="L160" s="260" t="str">
        <f t="shared" si="116"/>
        <v/>
      </c>
      <c r="M160" s="262" t="str">
        <f t="shared" si="117"/>
        <v/>
      </c>
      <c r="N160" s="261" t="str">
        <f t="shared" si="118"/>
        <v/>
      </c>
      <c r="O160" s="262" t="str">
        <f t="shared" si="119"/>
        <v/>
      </c>
      <c r="P160" s="262" t="str">
        <f t="shared" si="120"/>
        <v/>
      </c>
      <c r="Q160" s="262" t="str">
        <f t="shared" si="121"/>
        <v/>
      </c>
      <c r="R160" s="258"/>
      <c r="S160" s="262" t="str">
        <f t="shared" si="122"/>
        <v/>
      </c>
      <c r="T160" s="262" t="str">
        <f t="shared" si="123"/>
        <v/>
      </c>
      <c r="U160" s="262" t="str">
        <f t="shared" si="124"/>
        <v/>
      </c>
      <c r="V160" s="264" t="str">
        <f t="shared" si="125"/>
        <v/>
      </c>
    </row>
    <row r="161" spans="1:22" x14ac:dyDescent="0.3">
      <c r="A161" s="282">
        <f>9</f>
        <v>9</v>
      </c>
      <c r="B161" s="38"/>
      <c r="C161" s="38"/>
      <c r="D161" s="276"/>
      <c r="E161" s="277"/>
      <c r="F161" s="38"/>
      <c r="G161" s="38"/>
      <c r="H161" s="261">
        <f t="shared" si="112"/>
        <v>0</v>
      </c>
      <c r="I161" s="260">
        <f t="shared" si="113"/>
        <v>0</v>
      </c>
      <c r="J161" s="260">
        <f t="shared" si="114"/>
        <v>0</v>
      </c>
      <c r="K161" s="260">
        <f t="shared" si="115"/>
        <v>0</v>
      </c>
      <c r="L161" s="260" t="str">
        <f t="shared" si="116"/>
        <v/>
      </c>
      <c r="M161" s="262" t="str">
        <f t="shared" si="117"/>
        <v/>
      </c>
      <c r="N161" s="261" t="str">
        <f t="shared" si="118"/>
        <v/>
      </c>
      <c r="O161" s="262" t="str">
        <f t="shared" si="119"/>
        <v/>
      </c>
      <c r="P161" s="262" t="str">
        <f t="shared" si="120"/>
        <v/>
      </c>
      <c r="Q161" s="262" t="str">
        <f t="shared" si="121"/>
        <v/>
      </c>
      <c r="R161" s="258"/>
      <c r="S161" s="262" t="str">
        <f t="shared" si="122"/>
        <v/>
      </c>
      <c r="T161" s="262" t="str">
        <f t="shared" si="123"/>
        <v/>
      </c>
      <c r="U161" s="262" t="str">
        <f t="shared" si="124"/>
        <v/>
      </c>
      <c r="V161" s="264" t="str">
        <f t="shared" si="125"/>
        <v/>
      </c>
    </row>
    <row r="162" spans="1:22" x14ac:dyDescent="0.3">
      <c r="A162" s="282">
        <f>9</f>
        <v>9</v>
      </c>
      <c r="B162" s="38"/>
      <c r="C162" s="38"/>
      <c r="D162" s="276"/>
      <c r="E162" s="277"/>
      <c r="F162" s="38"/>
      <c r="G162" s="38"/>
      <c r="H162" s="261">
        <f t="shared" si="112"/>
        <v>0</v>
      </c>
      <c r="I162" s="260">
        <f t="shared" si="113"/>
        <v>0</v>
      </c>
      <c r="J162" s="260">
        <f t="shared" si="114"/>
        <v>0</v>
      </c>
      <c r="K162" s="260">
        <f t="shared" si="115"/>
        <v>0</v>
      </c>
      <c r="L162" s="260" t="str">
        <f t="shared" si="116"/>
        <v/>
      </c>
      <c r="M162" s="262" t="str">
        <f t="shared" si="117"/>
        <v/>
      </c>
      <c r="N162" s="261" t="str">
        <f t="shared" si="118"/>
        <v/>
      </c>
      <c r="O162" s="262" t="str">
        <f t="shared" si="119"/>
        <v/>
      </c>
      <c r="P162" s="262" t="str">
        <f t="shared" si="120"/>
        <v/>
      </c>
      <c r="Q162" s="262" t="str">
        <f t="shared" si="121"/>
        <v/>
      </c>
      <c r="R162" s="258"/>
      <c r="S162" s="262" t="str">
        <f t="shared" si="122"/>
        <v/>
      </c>
      <c r="T162" s="262" t="str">
        <f t="shared" si="123"/>
        <v/>
      </c>
      <c r="U162" s="262" t="str">
        <f t="shared" si="124"/>
        <v/>
      </c>
      <c r="V162" s="264" t="str">
        <f t="shared" si="125"/>
        <v/>
      </c>
    </row>
    <row r="163" spans="1:22" x14ac:dyDescent="0.3">
      <c r="A163" s="282">
        <f>9</f>
        <v>9</v>
      </c>
      <c r="B163" s="38"/>
      <c r="C163" s="38"/>
      <c r="D163" s="276"/>
      <c r="E163" s="277"/>
      <c r="F163" s="38"/>
      <c r="G163" s="38"/>
      <c r="H163" s="261">
        <f t="shared" si="112"/>
        <v>0</v>
      </c>
      <c r="I163" s="260">
        <f t="shared" si="113"/>
        <v>0</v>
      </c>
      <c r="J163" s="260">
        <f t="shared" si="114"/>
        <v>0</v>
      </c>
      <c r="K163" s="260">
        <f t="shared" si="115"/>
        <v>0</v>
      </c>
      <c r="L163" s="260" t="str">
        <f t="shared" si="116"/>
        <v/>
      </c>
      <c r="M163" s="262" t="str">
        <f t="shared" si="117"/>
        <v/>
      </c>
      <c r="N163" s="261" t="str">
        <f t="shared" si="118"/>
        <v/>
      </c>
      <c r="O163" s="262" t="str">
        <f t="shared" si="119"/>
        <v/>
      </c>
      <c r="P163" s="262" t="str">
        <f t="shared" si="120"/>
        <v/>
      </c>
      <c r="Q163" s="262" t="str">
        <f t="shared" si="121"/>
        <v/>
      </c>
      <c r="R163" s="258"/>
      <c r="S163" s="262" t="str">
        <f t="shared" si="122"/>
        <v/>
      </c>
      <c r="T163" s="262" t="str">
        <f t="shared" si="123"/>
        <v/>
      </c>
      <c r="U163" s="262" t="str">
        <f t="shared" si="124"/>
        <v/>
      </c>
      <c r="V163" s="264" t="str">
        <f t="shared" si="125"/>
        <v/>
      </c>
    </row>
    <row r="164" spans="1:22" x14ac:dyDescent="0.3">
      <c r="A164" s="282">
        <f>9</f>
        <v>9</v>
      </c>
      <c r="B164" s="38"/>
      <c r="C164" s="38"/>
      <c r="D164" s="276"/>
      <c r="E164" s="277"/>
      <c r="F164" s="38"/>
      <c r="G164" s="38"/>
      <c r="H164" s="261">
        <f t="shared" si="112"/>
        <v>0</v>
      </c>
      <c r="I164" s="260">
        <f t="shared" si="113"/>
        <v>0</v>
      </c>
      <c r="J164" s="260">
        <f t="shared" si="114"/>
        <v>0</v>
      </c>
      <c r="K164" s="260">
        <f t="shared" si="115"/>
        <v>0</v>
      </c>
      <c r="L164" s="260" t="str">
        <f t="shared" si="116"/>
        <v/>
      </c>
      <c r="M164" s="262" t="str">
        <f t="shared" si="117"/>
        <v/>
      </c>
      <c r="N164" s="261" t="str">
        <f t="shared" si="118"/>
        <v/>
      </c>
      <c r="O164" s="262" t="str">
        <f t="shared" si="119"/>
        <v/>
      </c>
      <c r="P164" s="262" t="str">
        <f t="shared" si="120"/>
        <v/>
      </c>
      <c r="Q164" s="262" t="str">
        <f t="shared" si="121"/>
        <v/>
      </c>
      <c r="R164" s="258"/>
      <c r="S164" s="262" t="str">
        <f t="shared" si="122"/>
        <v/>
      </c>
      <c r="T164" s="262" t="str">
        <f t="shared" si="123"/>
        <v/>
      </c>
      <c r="U164" s="262" t="str">
        <f t="shared" si="124"/>
        <v/>
      </c>
      <c r="V164" s="264" t="str">
        <f t="shared" si="125"/>
        <v/>
      </c>
    </row>
    <row r="165" spans="1:22" x14ac:dyDescent="0.3">
      <c r="B165" s="4" t="s">
        <v>139</v>
      </c>
      <c r="C165" s="4"/>
      <c r="D165" s="4"/>
      <c r="E165" s="253">
        <f>COUNT(B155:B164)</f>
        <v>0</v>
      </c>
      <c r="F165" s="28"/>
      <c r="G165" s="28"/>
      <c r="H165" s="28"/>
      <c r="I165" s="72"/>
      <c r="J165" s="72"/>
      <c r="K165" s="36"/>
      <c r="L165" s="93"/>
      <c r="M165" s="93"/>
      <c r="N165" s="12"/>
      <c r="O165" s="12"/>
      <c r="P165" s="254">
        <f>SUM(P155:P164)</f>
        <v>0</v>
      </c>
      <c r="Q165" s="254">
        <f>SUM(Q155:Q164)</f>
        <v>0</v>
      </c>
      <c r="S165" s="254">
        <f>SUM(S155:S164)</f>
        <v>0</v>
      </c>
      <c r="T165" s="256">
        <f>SUM(T155:T164)</f>
        <v>0</v>
      </c>
      <c r="U165" s="256">
        <f>SUM(U155:U164)</f>
        <v>0</v>
      </c>
      <c r="V165" s="256">
        <f>SUM(V155:V164)</f>
        <v>0</v>
      </c>
    </row>
    <row r="166" spans="1:22" x14ac:dyDescent="0.3">
      <c r="S166" s="93"/>
    </row>
    <row r="167" spans="1:22" x14ac:dyDescent="0.3">
      <c r="A167" s="4"/>
      <c r="B167" s="4"/>
      <c r="C167" s="4"/>
      <c r="D167" s="4"/>
      <c r="E167" s="4"/>
      <c r="F167" s="4"/>
      <c r="G167" s="4"/>
      <c r="H167" s="4"/>
      <c r="I167" s="4"/>
      <c r="J167" s="4"/>
      <c r="K167" s="4"/>
      <c r="L167" s="4"/>
      <c r="M167" s="4"/>
      <c r="N167" s="4"/>
      <c r="O167" s="4"/>
      <c r="P167" s="4"/>
      <c r="Q167" s="4"/>
      <c r="R167" s="4"/>
      <c r="S167" s="4"/>
      <c r="T167" s="4"/>
      <c r="U167" s="4"/>
      <c r="V167" s="4"/>
    </row>
    <row r="168" spans="1:22" x14ac:dyDescent="0.3">
      <c r="A168" s="4"/>
      <c r="B168" s="4"/>
      <c r="C168" s="4"/>
      <c r="D168" s="4"/>
      <c r="E168" s="4"/>
      <c r="F168" s="4"/>
      <c r="G168" s="4"/>
      <c r="H168" s="4"/>
      <c r="I168" s="4"/>
      <c r="J168" s="4"/>
      <c r="K168" s="4"/>
      <c r="L168" s="4"/>
      <c r="M168" s="4"/>
      <c r="N168" s="4"/>
      <c r="O168" s="4"/>
      <c r="P168" s="4"/>
      <c r="Q168" s="4"/>
      <c r="R168" s="4"/>
      <c r="S168" s="4"/>
      <c r="T168" s="4"/>
      <c r="U168" s="4"/>
      <c r="V168" s="4"/>
    </row>
    <row r="169" spans="1:22" x14ac:dyDescent="0.3">
      <c r="B169" s="323"/>
      <c r="C169" s="250" t="s">
        <v>826</v>
      </c>
      <c r="D169" s="402"/>
      <c r="E169" s="403"/>
      <c r="F169" s="250" t="s">
        <v>825</v>
      </c>
      <c r="G169" s="356"/>
      <c r="I169" s="12"/>
      <c r="L169" s="93"/>
      <c r="M169" s="93"/>
      <c r="O169" s="95"/>
      <c r="P169" s="245" t="s">
        <v>792</v>
      </c>
      <c r="Q169" s="87"/>
      <c r="R169" s="3"/>
      <c r="S169" s="35"/>
      <c r="T169" s="243" t="s">
        <v>827</v>
      </c>
      <c r="U169" s="259"/>
      <c r="V169" s="255"/>
    </row>
    <row r="170" spans="1:22" ht="34.5" x14ac:dyDescent="0.3">
      <c r="A170" s="266" t="s">
        <v>135</v>
      </c>
      <c r="B170" s="335" t="s">
        <v>143</v>
      </c>
      <c r="C170" s="272" t="s">
        <v>412</v>
      </c>
      <c r="D170" s="274" t="s">
        <v>1031</v>
      </c>
      <c r="E170" s="275" t="s">
        <v>157</v>
      </c>
      <c r="F170" s="269" t="s">
        <v>1029</v>
      </c>
      <c r="G170" s="269" t="s">
        <v>1030</v>
      </c>
      <c r="H170" s="335" t="s">
        <v>413</v>
      </c>
      <c r="I170" s="335" t="s">
        <v>414</v>
      </c>
      <c r="J170" s="335" t="s">
        <v>829</v>
      </c>
      <c r="K170" s="335" t="s">
        <v>830</v>
      </c>
      <c r="L170" s="335" t="s">
        <v>795</v>
      </c>
      <c r="M170" s="335" t="s">
        <v>409</v>
      </c>
      <c r="N170" s="335" t="s">
        <v>153</v>
      </c>
      <c r="O170" s="269" t="s">
        <v>796</v>
      </c>
      <c r="P170" s="269" t="s">
        <v>159</v>
      </c>
      <c r="Q170" s="269" t="s">
        <v>160</v>
      </c>
      <c r="R170" s="257" t="s">
        <v>824</v>
      </c>
      <c r="S170" s="269" t="s">
        <v>137</v>
      </c>
      <c r="T170" s="269" t="s">
        <v>138</v>
      </c>
      <c r="U170" s="269" t="s">
        <v>161</v>
      </c>
      <c r="V170" s="278" t="s">
        <v>162</v>
      </c>
    </row>
    <row r="171" spans="1:22" x14ac:dyDescent="0.3">
      <c r="A171" s="282">
        <f>10</f>
        <v>10</v>
      </c>
      <c r="B171" s="38"/>
      <c r="C171" s="38"/>
      <c r="D171" s="276"/>
      <c r="E171" s="277"/>
      <c r="F171" s="38"/>
      <c r="G171" s="38"/>
      <c r="H171" s="261">
        <f t="shared" ref="H171:H180" si="126">D171*0.5</f>
        <v>0</v>
      </c>
      <c r="I171" s="260">
        <f t="shared" ref="I171:I180" si="127">(PI()*(H171*H171)*C171)/1000</f>
        <v>0</v>
      </c>
      <c r="J171" s="260">
        <f t="shared" ref="J171:J180" si="128">((PI()*(F171*0.5)*(G171*0.5)*E171)/3)/1000</f>
        <v>0</v>
      </c>
      <c r="K171" s="260">
        <f t="shared" ref="K171:K180" si="129">(((E171*F171)*G171)*0.5)/1000</f>
        <v>0</v>
      </c>
      <c r="L171" s="260" t="str">
        <f t="shared" ref="L171:L180" si="130">IFERROR(IF(VLOOKUP(B171,UdoteaInitialMetrics,2,FALSE) = "Vase-shaped", (I171+J171), IF(VLOOKUP(B171, UdoteaInitialMetrics,2,FALSE) = "Fan-shaped", (I171+K171), "")),"")</f>
        <v/>
      </c>
      <c r="M171" s="262" t="str">
        <f t="shared" ref="M171:M180" si="131">IF(B171=1,$E$11,IF(B171=2,$E$12,IF(B171=3,0,IF(B171=4,0,""))))</f>
        <v/>
      </c>
      <c r="N171" s="261" t="str">
        <f t="shared" ref="N171:N180" si="132">IF(B171=1,$H$11,IF(B171=2,$H$12,IF(B171=3,$H$13,IF(B171=4,$H$14,""))))</f>
        <v/>
      </c>
      <c r="O171" s="262" t="str">
        <f t="shared" ref="O171:O180" si="133">IFERROR((L171*M171)*N171, "")</f>
        <v/>
      </c>
      <c r="P171" s="262" t="str">
        <f t="shared" ref="P171:P180" si="134">IFERROR(O171*(1/$B$6), "")</f>
        <v/>
      </c>
      <c r="Q171" s="262" t="str">
        <f t="shared" ref="Q171:Q180" si="135">IFERROR(P171/1000,"")</f>
        <v/>
      </c>
      <c r="R171" s="258"/>
      <c r="S171" s="262" t="str">
        <f t="shared" ref="S171:S180" si="136">IF(B171=1, Q171,"")</f>
        <v/>
      </c>
      <c r="T171" s="262" t="str">
        <f t="shared" ref="T171:T180" si="137">IF(B171=2, Q171,"")</f>
        <v/>
      </c>
      <c r="U171" s="262" t="str">
        <f t="shared" ref="U171:U180" si="138">IF(B171=3, Q171,"")</f>
        <v/>
      </c>
      <c r="V171" s="264" t="str">
        <f t="shared" ref="V171:V180" si="139">IF(B171=4, Q171,"")</f>
        <v/>
      </c>
    </row>
    <row r="172" spans="1:22" x14ac:dyDescent="0.3">
      <c r="A172" s="282">
        <f>10</f>
        <v>10</v>
      </c>
      <c r="B172" s="38"/>
      <c r="C172" s="38"/>
      <c r="D172" s="276"/>
      <c r="E172" s="277"/>
      <c r="F172" s="38"/>
      <c r="G172" s="38"/>
      <c r="H172" s="261">
        <f t="shared" si="126"/>
        <v>0</v>
      </c>
      <c r="I172" s="260">
        <f t="shared" si="127"/>
        <v>0</v>
      </c>
      <c r="J172" s="260">
        <f t="shared" si="128"/>
        <v>0</v>
      </c>
      <c r="K172" s="260">
        <f t="shared" si="129"/>
        <v>0</v>
      </c>
      <c r="L172" s="260" t="str">
        <f t="shared" si="130"/>
        <v/>
      </c>
      <c r="M172" s="262" t="str">
        <f t="shared" si="131"/>
        <v/>
      </c>
      <c r="N172" s="261" t="str">
        <f t="shared" si="132"/>
        <v/>
      </c>
      <c r="O172" s="262" t="str">
        <f t="shared" si="133"/>
        <v/>
      </c>
      <c r="P172" s="262" t="str">
        <f t="shared" si="134"/>
        <v/>
      </c>
      <c r="Q172" s="262" t="str">
        <f t="shared" si="135"/>
        <v/>
      </c>
      <c r="R172" s="258"/>
      <c r="S172" s="262" t="str">
        <f t="shared" si="136"/>
        <v/>
      </c>
      <c r="T172" s="262" t="str">
        <f t="shared" si="137"/>
        <v/>
      </c>
      <c r="U172" s="262" t="str">
        <f t="shared" si="138"/>
        <v/>
      </c>
      <c r="V172" s="264" t="str">
        <f t="shared" si="139"/>
        <v/>
      </c>
    </row>
    <row r="173" spans="1:22" x14ac:dyDescent="0.3">
      <c r="A173" s="282">
        <f>10</f>
        <v>10</v>
      </c>
      <c r="B173" s="38"/>
      <c r="C173" s="38"/>
      <c r="D173" s="276"/>
      <c r="E173" s="277"/>
      <c r="F173" s="38"/>
      <c r="G173" s="38"/>
      <c r="H173" s="261">
        <f t="shared" si="126"/>
        <v>0</v>
      </c>
      <c r="I173" s="260">
        <f t="shared" si="127"/>
        <v>0</v>
      </c>
      <c r="J173" s="260">
        <f t="shared" si="128"/>
        <v>0</v>
      </c>
      <c r="K173" s="260">
        <f t="shared" si="129"/>
        <v>0</v>
      </c>
      <c r="L173" s="260" t="str">
        <f t="shared" si="130"/>
        <v/>
      </c>
      <c r="M173" s="262" t="str">
        <f t="shared" si="131"/>
        <v/>
      </c>
      <c r="N173" s="261" t="str">
        <f t="shared" si="132"/>
        <v/>
      </c>
      <c r="O173" s="262" t="str">
        <f t="shared" si="133"/>
        <v/>
      </c>
      <c r="P173" s="262" t="str">
        <f t="shared" si="134"/>
        <v/>
      </c>
      <c r="Q173" s="262" t="str">
        <f t="shared" si="135"/>
        <v/>
      </c>
      <c r="R173" s="258"/>
      <c r="S173" s="262" t="str">
        <f t="shared" si="136"/>
        <v/>
      </c>
      <c r="T173" s="262" t="str">
        <f t="shared" si="137"/>
        <v/>
      </c>
      <c r="U173" s="262" t="str">
        <f t="shared" si="138"/>
        <v/>
      </c>
      <c r="V173" s="264" t="str">
        <f t="shared" si="139"/>
        <v/>
      </c>
    </row>
    <row r="174" spans="1:22" x14ac:dyDescent="0.3">
      <c r="A174" s="282">
        <f>10</f>
        <v>10</v>
      </c>
      <c r="B174" s="38"/>
      <c r="C174" s="38"/>
      <c r="D174" s="276"/>
      <c r="E174" s="277"/>
      <c r="F174" s="38"/>
      <c r="G174" s="38"/>
      <c r="H174" s="261">
        <f t="shared" si="126"/>
        <v>0</v>
      </c>
      <c r="I174" s="260">
        <f t="shared" si="127"/>
        <v>0</v>
      </c>
      <c r="J174" s="260">
        <f t="shared" si="128"/>
        <v>0</v>
      </c>
      <c r="K174" s="260">
        <f t="shared" si="129"/>
        <v>0</v>
      </c>
      <c r="L174" s="260" t="str">
        <f t="shared" si="130"/>
        <v/>
      </c>
      <c r="M174" s="262" t="str">
        <f t="shared" si="131"/>
        <v/>
      </c>
      <c r="N174" s="261" t="str">
        <f t="shared" si="132"/>
        <v/>
      </c>
      <c r="O174" s="262" t="str">
        <f t="shared" si="133"/>
        <v/>
      </c>
      <c r="P174" s="262" t="str">
        <f t="shared" si="134"/>
        <v/>
      </c>
      <c r="Q174" s="262" t="str">
        <f t="shared" si="135"/>
        <v/>
      </c>
      <c r="R174" s="258"/>
      <c r="S174" s="262" t="str">
        <f t="shared" si="136"/>
        <v/>
      </c>
      <c r="T174" s="262" t="str">
        <f t="shared" si="137"/>
        <v/>
      </c>
      <c r="U174" s="262" t="str">
        <f t="shared" si="138"/>
        <v/>
      </c>
      <c r="V174" s="264" t="str">
        <f t="shared" si="139"/>
        <v/>
      </c>
    </row>
    <row r="175" spans="1:22" x14ac:dyDescent="0.3">
      <c r="A175" s="282">
        <f>10</f>
        <v>10</v>
      </c>
      <c r="B175" s="38"/>
      <c r="C175" s="38"/>
      <c r="D175" s="276"/>
      <c r="E175" s="277"/>
      <c r="F175" s="38"/>
      <c r="G175" s="38"/>
      <c r="H175" s="261">
        <f t="shared" si="126"/>
        <v>0</v>
      </c>
      <c r="I175" s="260">
        <f t="shared" si="127"/>
        <v>0</v>
      </c>
      <c r="J175" s="260">
        <f t="shared" si="128"/>
        <v>0</v>
      </c>
      <c r="K175" s="260">
        <f t="shared" si="129"/>
        <v>0</v>
      </c>
      <c r="L175" s="260" t="str">
        <f t="shared" si="130"/>
        <v/>
      </c>
      <c r="M175" s="262" t="str">
        <f t="shared" si="131"/>
        <v/>
      </c>
      <c r="N175" s="261" t="str">
        <f t="shared" si="132"/>
        <v/>
      </c>
      <c r="O175" s="262" t="str">
        <f t="shared" si="133"/>
        <v/>
      </c>
      <c r="P175" s="262" t="str">
        <f t="shared" si="134"/>
        <v/>
      </c>
      <c r="Q175" s="262" t="str">
        <f t="shared" si="135"/>
        <v/>
      </c>
      <c r="R175" s="258"/>
      <c r="S175" s="262" t="str">
        <f t="shared" si="136"/>
        <v/>
      </c>
      <c r="T175" s="262" t="str">
        <f t="shared" si="137"/>
        <v/>
      </c>
      <c r="U175" s="262" t="str">
        <f t="shared" si="138"/>
        <v/>
      </c>
      <c r="V175" s="264" t="str">
        <f t="shared" si="139"/>
        <v/>
      </c>
    </row>
    <row r="176" spans="1:22" x14ac:dyDescent="0.3">
      <c r="A176" s="282">
        <f>10</f>
        <v>10</v>
      </c>
      <c r="B176" s="38"/>
      <c r="C176" s="38"/>
      <c r="D176" s="276"/>
      <c r="E176" s="277"/>
      <c r="F176" s="38"/>
      <c r="G176" s="38"/>
      <c r="H176" s="261">
        <f t="shared" si="126"/>
        <v>0</v>
      </c>
      <c r="I176" s="260">
        <f t="shared" si="127"/>
        <v>0</v>
      </c>
      <c r="J176" s="260">
        <f t="shared" si="128"/>
        <v>0</v>
      </c>
      <c r="K176" s="260">
        <f t="shared" si="129"/>
        <v>0</v>
      </c>
      <c r="L176" s="260" t="str">
        <f t="shared" si="130"/>
        <v/>
      </c>
      <c r="M176" s="262" t="str">
        <f t="shared" si="131"/>
        <v/>
      </c>
      <c r="N176" s="261" t="str">
        <f t="shared" si="132"/>
        <v/>
      </c>
      <c r="O176" s="262" t="str">
        <f t="shared" si="133"/>
        <v/>
      </c>
      <c r="P176" s="262" t="str">
        <f t="shared" si="134"/>
        <v/>
      </c>
      <c r="Q176" s="262" t="str">
        <f t="shared" si="135"/>
        <v/>
      </c>
      <c r="R176" s="258"/>
      <c r="S176" s="262" t="str">
        <f t="shared" si="136"/>
        <v/>
      </c>
      <c r="T176" s="262" t="str">
        <f t="shared" si="137"/>
        <v/>
      </c>
      <c r="U176" s="262" t="str">
        <f t="shared" si="138"/>
        <v/>
      </c>
      <c r="V176" s="264" t="str">
        <f t="shared" si="139"/>
        <v/>
      </c>
    </row>
    <row r="177" spans="1:22" x14ac:dyDescent="0.3">
      <c r="A177" s="282">
        <f>10</f>
        <v>10</v>
      </c>
      <c r="B177" s="38"/>
      <c r="C177" s="38"/>
      <c r="D177" s="276"/>
      <c r="E177" s="277"/>
      <c r="F177" s="38"/>
      <c r="G177" s="38"/>
      <c r="H177" s="261">
        <f t="shared" si="126"/>
        <v>0</v>
      </c>
      <c r="I177" s="260">
        <f t="shared" si="127"/>
        <v>0</v>
      </c>
      <c r="J177" s="260">
        <f t="shared" si="128"/>
        <v>0</v>
      </c>
      <c r="K177" s="260">
        <f t="shared" si="129"/>
        <v>0</v>
      </c>
      <c r="L177" s="260" t="str">
        <f t="shared" si="130"/>
        <v/>
      </c>
      <c r="M177" s="262" t="str">
        <f t="shared" si="131"/>
        <v/>
      </c>
      <c r="N177" s="261" t="str">
        <f t="shared" si="132"/>
        <v/>
      </c>
      <c r="O177" s="262" t="str">
        <f t="shared" si="133"/>
        <v/>
      </c>
      <c r="P177" s="262" t="str">
        <f t="shared" si="134"/>
        <v/>
      </c>
      <c r="Q177" s="262" t="str">
        <f t="shared" si="135"/>
        <v/>
      </c>
      <c r="R177" s="258"/>
      <c r="S177" s="262" t="str">
        <f t="shared" si="136"/>
        <v/>
      </c>
      <c r="T177" s="262" t="str">
        <f t="shared" si="137"/>
        <v/>
      </c>
      <c r="U177" s="262" t="str">
        <f t="shared" si="138"/>
        <v/>
      </c>
      <c r="V177" s="264" t="str">
        <f t="shared" si="139"/>
        <v/>
      </c>
    </row>
    <row r="178" spans="1:22" x14ac:dyDescent="0.3">
      <c r="A178" s="282">
        <f>10</f>
        <v>10</v>
      </c>
      <c r="B178" s="38"/>
      <c r="C178" s="38"/>
      <c r="D178" s="276"/>
      <c r="E178" s="277"/>
      <c r="F178" s="38"/>
      <c r="G178" s="38"/>
      <c r="H178" s="261">
        <f t="shared" si="126"/>
        <v>0</v>
      </c>
      <c r="I178" s="260">
        <f t="shared" si="127"/>
        <v>0</v>
      </c>
      <c r="J178" s="260">
        <f t="shared" si="128"/>
        <v>0</v>
      </c>
      <c r="K178" s="260">
        <f t="shared" si="129"/>
        <v>0</v>
      </c>
      <c r="L178" s="260" t="str">
        <f t="shared" si="130"/>
        <v/>
      </c>
      <c r="M178" s="262" t="str">
        <f t="shared" si="131"/>
        <v/>
      </c>
      <c r="N178" s="261" t="str">
        <f t="shared" si="132"/>
        <v/>
      </c>
      <c r="O178" s="262" t="str">
        <f t="shared" si="133"/>
        <v/>
      </c>
      <c r="P178" s="262" t="str">
        <f t="shared" si="134"/>
        <v/>
      </c>
      <c r="Q178" s="262" t="str">
        <f t="shared" si="135"/>
        <v/>
      </c>
      <c r="R178" s="258"/>
      <c r="S178" s="262" t="str">
        <f t="shared" si="136"/>
        <v/>
      </c>
      <c r="T178" s="262" t="str">
        <f t="shared" si="137"/>
        <v/>
      </c>
      <c r="U178" s="262" t="str">
        <f t="shared" si="138"/>
        <v/>
      </c>
      <c r="V178" s="264" t="str">
        <f t="shared" si="139"/>
        <v/>
      </c>
    </row>
    <row r="179" spans="1:22" x14ac:dyDescent="0.3">
      <c r="A179" s="282">
        <f>10</f>
        <v>10</v>
      </c>
      <c r="B179" s="38"/>
      <c r="C179" s="38"/>
      <c r="D179" s="276"/>
      <c r="E179" s="277"/>
      <c r="F179" s="38"/>
      <c r="G179" s="38"/>
      <c r="H179" s="261">
        <f t="shared" si="126"/>
        <v>0</v>
      </c>
      <c r="I179" s="260">
        <f t="shared" si="127"/>
        <v>0</v>
      </c>
      <c r="J179" s="260">
        <f t="shared" si="128"/>
        <v>0</v>
      </c>
      <c r="K179" s="260">
        <f t="shared" si="129"/>
        <v>0</v>
      </c>
      <c r="L179" s="260" t="str">
        <f t="shared" si="130"/>
        <v/>
      </c>
      <c r="M179" s="262" t="str">
        <f t="shared" si="131"/>
        <v/>
      </c>
      <c r="N179" s="261" t="str">
        <f t="shared" si="132"/>
        <v/>
      </c>
      <c r="O179" s="262" t="str">
        <f t="shared" si="133"/>
        <v/>
      </c>
      <c r="P179" s="262" t="str">
        <f t="shared" si="134"/>
        <v/>
      </c>
      <c r="Q179" s="262" t="str">
        <f t="shared" si="135"/>
        <v/>
      </c>
      <c r="R179" s="258"/>
      <c r="S179" s="262" t="str">
        <f t="shared" si="136"/>
        <v/>
      </c>
      <c r="T179" s="262" t="str">
        <f t="shared" si="137"/>
        <v/>
      </c>
      <c r="U179" s="262" t="str">
        <f t="shared" si="138"/>
        <v/>
      </c>
      <c r="V179" s="264" t="str">
        <f t="shared" si="139"/>
        <v/>
      </c>
    </row>
    <row r="180" spans="1:22" x14ac:dyDescent="0.3">
      <c r="A180" s="282">
        <f>10</f>
        <v>10</v>
      </c>
      <c r="B180" s="38"/>
      <c r="C180" s="38"/>
      <c r="D180" s="276"/>
      <c r="E180" s="277"/>
      <c r="F180" s="38"/>
      <c r="G180" s="38"/>
      <c r="H180" s="261">
        <f t="shared" si="126"/>
        <v>0</v>
      </c>
      <c r="I180" s="260">
        <f t="shared" si="127"/>
        <v>0</v>
      </c>
      <c r="J180" s="260">
        <f t="shared" si="128"/>
        <v>0</v>
      </c>
      <c r="K180" s="260">
        <f t="shared" si="129"/>
        <v>0</v>
      </c>
      <c r="L180" s="260" t="str">
        <f t="shared" si="130"/>
        <v/>
      </c>
      <c r="M180" s="262" t="str">
        <f t="shared" si="131"/>
        <v/>
      </c>
      <c r="N180" s="261" t="str">
        <f t="shared" si="132"/>
        <v/>
      </c>
      <c r="O180" s="262" t="str">
        <f t="shared" si="133"/>
        <v/>
      </c>
      <c r="P180" s="262" t="str">
        <f t="shared" si="134"/>
        <v/>
      </c>
      <c r="Q180" s="262" t="str">
        <f t="shared" si="135"/>
        <v/>
      </c>
      <c r="R180" s="258"/>
      <c r="S180" s="262" t="str">
        <f t="shared" si="136"/>
        <v/>
      </c>
      <c r="T180" s="262" t="str">
        <f t="shared" si="137"/>
        <v/>
      </c>
      <c r="U180" s="262" t="str">
        <f t="shared" si="138"/>
        <v/>
      </c>
      <c r="V180" s="264" t="str">
        <f t="shared" si="139"/>
        <v/>
      </c>
    </row>
    <row r="181" spans="1:22" x14ac:dyDescent="0.3">
      <c r="B181" s="4" t="s">
        <v>139</v>
      </c>
      <c r="C181" s="4"/>
      <c r="D181" s="4"/>
      <c r="E181" s="253">
        <f>COUNT(B171:B180)</f>
        <v>0</v>
      </c>
      <c r="F181" s="28"/>
      <c r="G181" s="28"/>
      <c r="H181" s="28"/>
      <c r="I181" s="72"/>
      <c r="J181" s="72"/>
      <c r="K181" s="36"/>
      <c r="L181" s="93"/>
      <c r="M181" s="93"/>
      <c r="N181" s="12"/>
      <c r="O181" s="12"/>
      <c r="P181" s="254">
        <f>SUM(P171:P180)</f>
        <v>0</v>
      </c>
      <c r="Q181" s="254">
        <f>SUM(Q171:Q180)</f>
        <v>0</v>
      </c>
      <c r="S181" s="254">
        <f>SUM(S171:S180)</f>
        <v>0</v>
      </c>
      <c r="T181" s="256">
        <f>SUM(T171:T180)</f>
        <v>0</v>
      </c>
      <c r="U181" s="256">
        <f>SUM(U171:U180)</f>
        <v>0</v>
      </c>
      <c r="V181" s="256">
        <f>SUM(V171:V180)</f>
        <v>0</v>
      </c>
    </row>
    <row r="182" spans="1:22" x14ac:dyDescent="0.3">
      <c r="S182" s="93"/>
    </row>
    <row r="183" spans="1:22" x14ac:dyDescent="0.3">
      <c r="A183" s="4"/>
      <c r="B183" s="4"/>
      <c r="C183" s="4"/>
      <c r="D183" s="4"/>
      <c r="E183" s="4"/>
      <c r="F183" s="4"/>
      <c r="G183" s="4"/>
      <c r="H183" s="4"/>
      <c r="I183" s="4"/>
      <c r="J183" s="4"/>
      <c r="K183" s="4"/>
      <c r="L183" s="4"/>
      <c r="M183" s="4"/>
      <c r="N183" s="4"/>
      <c r="O183" s="4"/>
      <c r="P183" s="4"/>
      <c r="Q183" s="4"/>
      <c r="R183" s="4"/>
      <c r="S183" s="4"/>
      <c r="T183" s="4"/>
      <c r="U183" s="4"/>
      <c r="V183" s="4"/>
    </row>
    <row r="184" spans="1:22" x14ac:dyDescent="0.3">
      <c r="A184" s="4"/>
      <c r="B184" s="4"/>
      <c r="C184" s="4"/>
      <c r="D184" s="4"/>
      <c r="E184" s="4"/>
      <c r="F184" s="4"/>
      <c r="G184" s="4"/>
      <c r="H184" s="4"/>
      <c r="I184" s="4"/>
      <c r="J184" s="4"/>
      <c r="K184" s="4"/>
      <c r="L184" s="4"/>
      <c r="M184" s="4"/>
      <c r="N184" s="4"/>
      <c r="O184" s="4"/>
      <c r="P184" s="4"/>
      <c r="Q184" s="4"/>
      <c r="R184" s="4"/>
      <c r="S184" s="4"/>
      <c r="T184" s="4"/>
      <c r="U184" s="4"/>
      <c r="V184" s="4"/>
    </row>
    <row r="186" spans="1:22" x14ac:dyDescent="0.3">
      <c r="A186" s="565" t="s">
        <v>144</v>
      </c>
      <c r="B186" s="565"/>
      <c r="C186" s="4"/>
      <c r="D186" s="4"/>
    </row>
    <row r="187" spans="1:22" x14ac:dyDescent="0.3">
      <c r="A187" s="655" t="s">
        <v>44</v>
      </c>
      <c r="B187" s="656" t="s">
        <v>44</v>
      </c>
      <c r="C187" s="658" t="s">
        <v>145</v>
      </c>
      <c r="D187" s="12"/>
    </row>
    <row r="188" spans="1:22" x14ac:dyDescent="0.3">
      <c r="A188" s="655"/>
      <c r="B188" s="657"/>
      <c r="C188" s="659"/>
      <c r="D188" s="12"/>
    </row>
    <row r="189" spans="1:22" x14ac:dyDescent="0.3">
      <c r="A189" s="39">
        <v>1</v>
      </c>
      <c r="B189" s="138" t="str">
        <f>IF($A$11="","",(A11))</f>
        <v/>
      </c>
      <c r="C189" s="131" t="e">
        <f>(S37+S53+S69+S85+S101+S117+S133+S149+S165+S181)/$B$5</f>
        <v>#DIV/0!</v>
      </c>
      <c r="D189" s="28"/>
    </row>
    <row r="190" spans="1:22" x14ac:dyDescent="0.3">
      <c r="A190" s="39">
        <v>2</v>
      </c>
      <c r="B190" s="138" t="str">
        <f>IF($A$12="","",(A12))</f>
        <v/>
      </c>
      <c r="C190" s="131" t="e">
        <f>(T37+T53+T69+T85+T101+T117+T133+T149+T165+T181)/$B$5</f>
        <v>#DIV/0!</v>
      </c>
      <c r="D190" s="28"/>
    </row>
    <row r="191" spans="1:22" x14ac:dyDescent="0.3">
      <c r="A191" s="39">
        <v>3</v>
      </c>
      <c r="B191" s="138" t="str">
        <f>IF($A$13="","",(A13))</f>
        <v/>
      </c>
      <c r="C191" s="131" t="e">
        <f>(U37+U53+U69+U85+U101+U117+U133+U149+U165+U181)/$B$5</f>
        <v>#DIV/0!</v>
      </c>
      <c r="D191" s="28"/>
    </row>
    <row r="192" spans="1:22" x14ac:dyDescent="0.3">
      <c r="A192" s="39">
        <v>4</v>
      </c>
      <c r="B192" s="138" t="str">
        <f>IF($A$14="","",(A14))</f>
        <v/>
      </c>
      <c r="C192" s="131" t="e">
        <f>(V37+V53+V69+V85+V101+V117+V133+V149+V165+V181)/$B$5</f>
        <v>#DIV/0!</v>
      </c>
      <c r="D192" s="28"/>
    </row>
    <row r="194" spans="1:22" ht="18" x14ac:dyDescent="0.3">
      <c r="A194" s="565" t="s">
        <v>168</v>
      </c>
      <c r="B194" s="565"/>
      <c r="C194" s="565"/>
      <c r="D194" s="4"/>
      <c r="E194" s="4"/>
      <c r="F194" s="4"/>
      <c r="G194" s="3"/>
      <c r="H194" s="3"/>
      <c r="I194" s="11"/>
      <c r="J194" s="3"/>
      <c r="K194" s="3"/>
      <c r="L194" s="11"/>
      <c r="M194" s="11"/>
      <c r="N194" s="22"/>
      <c r="O194" s="22"/>
      <c r="P194" s="3"/>
      <c r="Q194" s="3"/>
      <c r="R194" s="3"/>
      <c r="S194" s="3"/>
      <c r="T194" s="3"/>
      <c r="U194" s="22"/>
      <c r="V194" s="22"/>
    </row>
    <row r="195" spans="1:22" x14ac:dyDescent="0.3">
      <c r="A195" s="655" t="s">
        <v>44</v>
      </c>
      <c r="B195" s="656" t="s">
        <v>44</v>
      </c>
      <c r="C195" s="342" t="s">
        <v>103</v>
      </c>
      <c r="D195" s="342" t="s">
        <v>68</v>
      </c>
      <c r="E195" s="343" t="s">
        <v>69</v>
      </c>
      <c r="F195" s="342" t="s">
        <v>70</v>
      </c>
      <c r="G195" s="342" t="s">
        <v>71</v>
      </c>
      <c r="H195" s="342" t="s">
        <v>72</v>
      </c>
      <c r="I195" s="366" t="s">
        <v>73</v>
      </c>
      <c r="J195" s="342" t="s">
        <v>74</v>
      </c>
      <c r="K195" s="342" t="s">
        <v>75</v>
      </c>
      <c r="L195" s="366" t="s">
        <v>76</v>
      </c>
      <c r="M195" s="366" t="s">
        <v>77</v>
      </c>
      <c r="N195" s="355" t="s">
        <v>78</v>
      </c>
      <c r="O195" s="124"/>
      <c r="P195" s="28"/>
      <c r="Q195" s="28"/>
      <c r="R195" s="28"/>
      <c r="S195" s="28"/>
      <c r="T195" s="28"/>
      <c r="U195" s="124"/>
      <c r="V195" s="124"/>
    </row>
    <row r="196" spans="1:22" x14ac:dyDescent="0.3">
      <c r="A196" s="655"/>
      <c r="B196" s="657"/>
      <c r="C196" s="342" t="s">
        <v>80</v>
      </c>
      <c r="D196" s="342" t="s">
        <v>81</v>
      </c>
      <c r="E196" s="342" t="s">
        <v>82</v>
      </c>
      <c r="F196" s="342" t="s">
        <v>83</v>
      </c>
      <c r="G196" s="342" t="s">
        <v>84</v>
      </c>
      <c r="H196" s="342" t="s">
        <v>85</v>
      </c>
      <c r="I196" s="342" t="s">
        <v>86</v>
      </c>
      <c r="J196" s="342" t="s">
        <v>87</v>
      </c>
      <c r="K196" s="342" t="s">
        <v>88</v>
      </c>
      <c r="L196" s="342" t="s">
        <v>89</v>
      </c>
      <c r="M196" s="342" t="s">
        <v>90</v>
      </c>
      <c r="N196" s="342" t="s">
        <v>91</v>
      </c>
    </row>
    <row r="197" spans="1:22" x14ac:dyDescent="0.3">
      <c r="A197" s="39">
        <v>1</v>
      </c>
      <c r="B197" s="138" t="str">
        <f>IF($A$11="","",(A11))</f>
        <v/>
      </c>
      <c r="C197" s="35" t="e">
        <f t="shared" ref="C197:N197" si="140">$C$189*C19</f>
        <v>#DIV/0!</v>
      </c>
      <c r="D197" s="35" t="e">
        <f t="shared" si="140"/>
        <v>#DIV/0!</v>
      </c>
      <c r="E197" s="35" t="e">
        <f t="shared" si="140"/>
        <v>#DIV/0!</v>
      </c>
      <c r="F197" s="35" t="e">
        <f t="shared" si="140"/>
        <v>#DIV/0!</v>
      </c>
      <c r="G197" s="35" t="e">
        <f t="shared" si="140"/>
        <v>#DIV/0!</v>
      </c>
      <c r="H197" s="35" t="e">
        <f t="shared" si="140"/>
        <v>#DIV/0!</v>
      </c>
      <c r="I197" s="35" t="e">
        <f t="shared" si="140"/>
        <v>#DIV/0!</v>
      </c>
      <c r="J197" s="35" t="e">
        <f t="shared" si="140"/>
        <v>#DIV/0!</v>
      </c>
      <c r="K197" s="35" t="e">
        <f t="shared" si="140"/>
        <v>#DIV/0!</v>
      </c>
      <c r="L197" s="35" t="e">
        <f t="shared" si="140"/>
        <v>#DIV/0!</v>
      </c>
      <c r="M197" s="35" t="e">
        <f t="shared" si="140"/>
        <v>#DIV/0!</v>
      </c>
      <c r="N197" s="35" t="e">
        <f t="shared" si="140"/>
        <v>#DIV/0!</v>
      </c>
      <c r="P197" s="36"/>
      <c r="Q197" s="36"/>
      <c r="R197" s="36"/>
      <c r="S197" s="36"/>
      <c r="T197" s="36"/>
    </row>
    <row r="198" spans="1:22" x14ac:dyDescent="0.3">
      <c r="A198" s="39">
        <v>2</v>
      </c>
      <c r="B198" s="138" t="str">
        <f>IF($A$12="","",(A12))</f>
        <v/>
      </c>
      <c r="C198" s="35" t="e">
        <f t="shared" ref="C198:N198" si="141">$C$190*C20</f>
        <v>#DIV/0!</v>
      </c>
      <c r="D198" s="35" t="e">
        <f t="shared" si="141"/>
        <v>#DIV/0!</v>
      </c>
      <c r="E198" s="35" t="e">
        <f t="shared" si="141"/>
        <v>#DIV/0!</v>
      </c>
      <c r="F198" s="35" t="e">
        <f t="shared" si="141"/>
        <v>#DIV/0!</v>
      </c>
      <c r="G198" s="35" t="e">
        <f t="shared" si="141"/>
        <v>#DIV/0!</v>
      </c>
      <c r="H198" s="35" t="e">
        <f t="shared" si="141"/>
        <v>#DIV/0!</v>
      </c>
      <c r="I198" s="35" t="e">
        <f t="shared" si="141"/>
        <v>#DIV/0!</v>
      </c>
      <c r="J198" s="35" t="e">
        <f t="shared" si="141"/>
        <v>#DIV/0!</v>
      </c>
      <c r="K198" s="35" t="e">
        <f t="shared" si="141"/>
        <v>#DIV/0!</v>
      </c>
      <c r="L198" s="35" t="e">
        <f t="shared" si="141"/>
        <v>#DIV/0!</v>
      </c>
      <c r="M198" s="35" t="e">
        <f t="shared" si="141"/>
        <v>#DIV/0!</v>
      </c>
      <c r="N198" s="35" t="e">
        <f t="shared" si="141"/>
        <v>#DIV/0!</v>
      </c>
      <c r="P198" s="36"/>
      <c r="Q198" s="36"/>
      <c r="R198" s="36"/>
      <c r="S198" s="36"/>
      <c r="T198" s="36"/>
    </row>
    <row r="199" spans="1:22" x14ac:dyDescent="0.3">
      <c r="A199" s="39">
        <v>3</v>
      </c>
      <c r="B199" s="138" t="str">
        <f>IF($A$13="","",(A13))</f>
        <v/>
      </c>
      <c r="C199" s="35" t="e">
        <f t="shared" ref="C199:N199" si="142">$C$191*C21</f>
        <v>#DIV/0!</v>
      </c>
      <c r="D199" s="35" t="e">
        <f t="shared" si="142"/>
        <v>#DIV/0!</v>
      </c>
      <c r="E199" s="35" t="e">
        <f t="shared" si="142"/>
        <v>#DIV/0!</v>
      </c>
      <c r="F199" s="35" t="e">
        <f t="shared" si="142"/>
        <v>#DIV/0!</v>
      </c>
      <c r="G199" s="35" t="e">
        <f t="shared" si="142"/>
        <v>#DIV/0!</v>
      </c>
      <c r="H199" s="35" t="e">
        <f t="shared" si="142"/>
        <v>#DIV/0!</v>
      </c>
      <c r="I199" s="35" t="e">
        <f t="shared" si="142"/>
        <v>#DIV/0!</v>
      </c>
      <c r="J199" s="35" t="e">
        <f t="shared" si="142"/>
        <v>#DIV/0!</v>
      </c>
      <c r="K199" s="35" t="e">
        <f t="shared" si="142"/>
        <v>#DIV/0!</v>
      </c>
      <c r="L199" s="35" t="e">
        <f t="shared" si="142"/>
        <v>#DIV/0!</v>
      </c>
      <c r="M199" s="35" t="e">
        <f t="shared" si="142"/>
        <v>#DIV/0!</v>
      </c>
      <c r="N199" s="35" t="e">
        <f t="shared" si="142"/>
        <v>#DIV/0!</v>
      </c>
      <c r="P199" s="36"/>
      <c r="Q199" s="36"/>
      <c r="R199" s="36"/>
      <c r="S199" s="36"/>
      <c r="T199" s="36"/>
    </row>
    <row r="200" spans="1:22" x14ac:dyDescent="0.3">
      <c r="A200" s="39">
        <v>4</v>
      </c>
      <c r="B200" s="138" t="str">
        <f>IF($A$14="","",(A14))</f>
        <v/>
      </c>
      <c r="C200" s="35" t="e">
        <f t="shared" ref="C200:N200" si="143">$C$192*C22</f>
        <v>#DIV/0!</v>
      </c>
      <c r="D200" s="35" t="e">
        <f t="shared" si="143"/>
        <v>#DIV/0!</v>
      </c>
      <c r="E200" s="35" t="e">
        <f t="shared" si="143"/>
        <v>#DIV/0!</v>
      </c>
      <c r="F200" s="35" t="e">
        <f t="shared" si="143"/>
        <v>#DIV/0!</v>
      </c>
      <c r="G200" s="35" t="e">
        <f t="shared" si="143"/>
        <v>#DIV/0!</v>
      </c>
      <c r="H200" s="35" t="e">
        <f t="shared" si="143"/>
        <v>#DIV/0!</v>
      </c>
      <c r="I200" s="35" t="e">
        <f t="shared" si="143"/>
        <v>#DIV/0!</v>
      </c>
      <c r="J200" s="35" t="e">
        <f t="shared" si="143"/>
        <v>#DIV/0!</v>
      </c>
      <c r="K200" s="35" t="e">
        <f t="shared" si="143"/>
        <v>#DIV/0!</v>
      </c>
      <c r="L200" s="35" t="e">
        <f t="shared" si="143"/>
        <v>#DIV/0!</v>
      </c>
      <c r="M200" s="35" t="e">
        <f t="shared" si="143"/>
        <v>#DIV/0!</v>
      </c>
      <c r="N200" s="35" t="e">
        <f t="shared" si="143"/>
        <v>#DIV/0!</v>
      </c>
      <c r="P200" s="36"/>
      <c r="Q200" s="36"/>
      <c r="R200" s="36"/>
      <c r="S200" s="36"/>
      <c r="T200" s="36"/>
    </row>
    <row r="201" spans="1:22" x14ac:dyDescent="0.3">
      <c r="A201" s="28"/>
      <c r="B201" s="28"/>
      <c r="C201" s="26"/>
      <c r="D201" s="26"/>
      <c r="E201" s="26"/>
      <c r="F201" s="26"/>
      <c r="G201" s="26"/>
      <c r="H201" s="26"/>
      <c r="J201" s="26"/>
      <c r="K201" s="26"/>
      <c r="P201" s="36"/>
      <c r="Q201" s="36"/>
      <c r="R201" s="36"/>
      <c r="S201" s="36"/>
      <c r="T201" s="36"/>
    </row>
    <row r="202" spans="1:22" ht="18" x14ac:dyDescent="0.3">
      <c r="A202" s="213" t="s">
        <v>851</v>
      </c>
      <c r="B202" s="213"/>
      <c r="C202" s="213"/>
      <c r="D202" s="12"/>
      <c r="O202" s="28" t="s">
        <v>104</v>
      </c>
    </row>
    <row r="203" spans="1:22" x14ac:dyDescent="0.3">
      <c r="A203" s="678" t="s">
        <v>169</v>
      </c>
      <c r="B203" s="679"/>
      <c r="C203" s="152" t="str">
        <f>IF($B$4="","",SUM(C197:C200))</f>
        <v/>
      </c>
      <c r="D203" s="152" t="str">
        <f t="shared" ref="D203:N203" si="144">IF($B$4="","",SUM(D197:D200))</f>
        <v/>
      </c>
      <c r="E203" s="152" t="str">
        <f t="shared" si="144"/>
        <v/>
      </c>
      <c r="F203" s="152" t="str">
        <f t="shared" si="144"/>
        <v/>
      </c>
      <c r="G203" s="152" t="str">
        <f t="shared" si="144"/>
        <v/>
      </c>
      <c r="H203" s="152" t="str">
        <f t="shared" si="144"/>
        <v/>
      </c>
      <c r="I203" s="152" t="str">
        <f t="shared" si="144"/>
        <v/>
      </c>
      <c r="J203" s="152" t="str">
        <f t="shared" si="144"/>
        <v/>
      </c>
      <c r="K203" s="152" t="str">
        <f t="shared" si="144"/>
        <v/>
      </c>
      <c r="L203" s="152" t="str">
        <f t="shared" si="144"/>
        <v/>
      </c>
      <c r="M203" s="152" t="str">
        <f t="shared" si="144"/>
        <v/>
      </c>
      <c r="N203" s="152" t="str">
        <f t="shared" si="144"/>
        <v/>
      </c>
      <c r="O203" s="130">
        <f>SUM(C203:N203)</f>
        <v>0</v>
      </c>
      <c r="P203" s="46"/>
      <c r="Q203" s="46"/>
      <c r="R203" s="46"/>
      <c r="S203" s="46"/>
      <c r="T203" s="46"/>
      <c r="U203" s="128"/>
      <c r="V203" s="128"/>
    </row>
    <row r="204" spans="1:22" x14ac:dyDescent="0.3">
      <c r="A204" s="45"/>
      <c r="B204" s="45"/>
      <c r="C204" s="653"/>
      <c r="D204" s="653"/>
      <c r="E204" s="653"/>
      <c r="F204" s="653"/>
      <c r="G204" s="653"/>
    </row>
  </sheetData>
  <mergeCells count="36">
    <mergeCell ref="I13:J13"/>
    <mergeCell ref="E9:E10"/>
    <mergeCell ref="F9:G10"/>
    <mergeCell ref="H9:H10"/>
    <mergeCell ref="A13:B13"/>
    <mergeCell ref="F13:G13"/>
    <mergeCell ref="A8:C8"/>
    <mergeCell ref="D8:J8"/>
    <mergeCell ref="L13:O14"/>
    <mergeCell ref="A14:B14"/>
    <mergeCell ref="F14:G14"/>
    <mergeCell ref="I14:J14"/>
    <mergeCell ref="I9:J10"/>
    <mergeCell ref="A11:B11"/>
    <mergeCell ref="F11:G11"/>
    <mergeCell ref="I11:J11"/>
    <mergeCell ref="A12:B12"/>
    <mergeCell ref="F12:G12"/>
    <mergeCell ref="I12:J12"/>
    <mergeCell ref="C9:C10"/>
    <mergeCell ref="D9:D10"/>
    <mergeCell ref="A9:B10"/>
    <mergeCell ref="A16:C16"/>
    <mergeCell ref="A203:B203"/>
    <mergeCell ref="C204:G204"/>
    <mergeCell ref="A187:A188"/>
    <mergeCell ref="B187:B188"/>
    <mergeCell ref="C187:C188"/>
    <mergeCell ref="A17:A18"/>
    <mergeCell ref="B17:B18"/>
    <mergeCell ref="A194:C194"/>
    <mergeCell ref="A195:A196"/>
    <mergeCell ref="B195:B196"/>
    <mergeCell ref="D16:N16"/>
    <mergeCell ref="A24:C24"/>
    <mergeCell ref="A186:B186"/>
  </mergeCells>
  <pageMargins left="0.7" right="0.7" top="0.75" bottom="0.75" header="0.3" footer="0.3"/>
  <pageSetup paperSize="9" orientation="portrait" r:id="rId1"/>
  <tableParts count="10">
    <tablePart r:id="rId2"/>
    <tablePart r:id="rId3"/>
    <tablePart r:id="rId4"/>
    <tablePart r:id="rId5"/>
    <tablePart r:id="rId6"/>
    <tablePart r:id="rId7"/>
    <tablePart r:id="rId8"/>
    <tablePart r:id="rId9"/>
    <tablePart r:id="rId10"/>
    <tablePart r:id="rId1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73069-1E63-48FE-AD5B-833E27E76387}">
  <sheetPr codeName="Sheet16">
    <tabColor theme="0" tint="-0.249977111117893"/>
  </sheetPr>
  <dimension ref="A1:AP114"/>
  <sheetViews>
    <sheetView zoomScale="70" zoomScaleNormal="70" workbookViewId="0">
      <pane xSplit="1" topLeftCell="B1" activePane="topRight" state="frozen"/>
      <selection activeCell="A51" sqref="A51"/>
      <selection pane="topRight" activeCell="C1" sqref="C1"/>
    </sheetView>
  </sheetViews>
  <sheetFormatPr defaultColWidth="8.85546875" defaultRowHeight="16.5" x14ac:dyDescent="0.3"/>
  <cols>
    <col min="1" max="1" width="42.42578125" style="3" customWidth="1"/>
    <col min="2" max="2" width="24.28515625" style="3" customWidth="1"/>
    <col min="3" max="3" width="23" style="3" customWidth="1"/>
    <col min="4" max="4" width="21.42578125" style="3" customWidth="1"/>
    <col min="5" max="5" width="9.42578125" style="3" customWidth="1"/>
    <col min="6" max="6" width="11.85546875" style="3" customWidth="1"/>
    <col min="7" max="7" width="31.85546875" style="3" customWidth="1"/>
    <col min="8" max="8" width="2.85546875" style="3" customWidth="1"/>
    <col min="9" max="9" width="6.42578125" style="3" customWidth="1"/>
    <col min="10" max="10" width="16.85546875" style="3" customWidth="1"/>
    <col min="11" max="11" width="59.140625" style="3" customWidth="1"/>
    <col min="12" max="12" width="6.42578125" style="3" customWidth="1"/>
    <col min="13" max="16" width="11.42578125" style="3" customWidth="1"/>
    <col min="17" max="17" width="12.140625" style="3" customWidth="1"/>
    <col min="18" max="18" width="13.85546875" style="3" customWidth="1"/>
    <col min="19" max="19" width="13.140625" style="3" customWidth="1"/>
    <col min="20" max="20" width="10.42578125" style="3" customWidth="1"/>
    <col min="21" max="21" width="9.85546875" style="3" customWidth="1"/>
    <col min="22" max="22" width="11.140625" style="3" customWidth="1"/>
    <col min="23" max="23" width="10.42578125" style="3" customWidth="1"/>
    <col min="24" max="24" width="12" style="3" customWidth="1"/>
    <col min="25" max="25" width="13.7109375" style="3" customWidth="1"/>
    <col min="26" max="26" width="55.140625" style="3" customWidth="1"/>
    <col min="27" max="16384" width="8.85546875" style="3"/>
  </cols>
  <sheetData>
    <row r="1" spans="1:32" ht="20.25" x14ac:dyDescent="0.3">
      <c r="A1" s="196" t="s">
        <v>462</v>
      </c>
      <c r="E1" s="25"/>
      <c r="F1" s="25"/>
      <c r="G1" s="25"/>
      <c r="H1" s="25"/>
      <c r="I1" s="25"/>
      <c r="J1" s="26"/>
      <c r="K1" s="25"/>
      <c r="L1" s="25"/>
      <c r="N1" s="72"/>
      <c r="O1" s="72"/>
      <c r="P1" s="72"/>
      <c r="Q1" s="72"/>
      <c r="R1" s="28"/>
      <c r="S1" s="28"/>
      <c r="T1" s="28"/>
      <c r="U1" s="28"/>
      <c r="V1" s="28"/>
      <c r="W1" s="28"/>
      <c r="X1" s="28"/>
      <c r="Y1" s="28"/>
      <c r="AE1" s="22"/>
    </row>
    <row r="2" spans="1:32" x14ac:dyDescent="0.3">
      <c r="A2" s="41"/>
      <c r="C2" s="12"/>
      <c r="E2" s="25"/>
      <c r="F2" s="25"/>
      <c r="G2" s="25"/>
      <c r="H2" s="25"/>
      <c r="I2" s="25"/>
      <c r="J2" s="624"/>
      <c r="K2" s="624"/>
      <c r="L2" s="624"/>
      <c r="N2" s="28"/>
      <c r="O2" s="28"/>
      <c r="P2" s="75"/>
      <c r="Q2" s="28"/>
      <c r="R2" s="28"/>
      <c r="S2" s="28"/>
      <c r="T2" s="28"/>
      <c r="U2" s="28"/>
      <c r="V2" s="28"/>
      <c r="W2" s="28"/>
      <c r="X2" s="28"/>
      <c r="Y2" s="28"/>
      <c r="AE2" s="22"/>
    </row>
    <row r="3" spans="1:32" x14ac:dyDescent="0.3">
      <c r="A3" s="48" t="s">
        <v>171</v>
      </c>
      <c r="B3" s="48" t="s">
        <v>172</v>
      </c>
      <c r="C3" s="48" t="s">
        <v>418</v>
      </c>
      <c r="D3" s="637" t="s">
        <v>175</v>
      </c>
      <c r="E3" s="677"/>
      <c r="F3" s="677"/>
      <c r="G3" s="637" t="s">
        <v>419</v>
      </c>
      <c r="H3" s="638"/>
      <c r="I3" s="45"/>
      <c r="J3" s="45"/>
      <c r="K3" s="73"/>
      <c r="M3" s="28"/>
      <c r="N3" s="28"/>
      <c r="O3" s="28"/>
      <c r="P3" s="28"/>
      <c r="Q3" s="28"/>
      <c r="R3" s="28"/>
      <c r="S3" s="28"/>
      <c r="T3" s="28"/>
      <c r="U3" s="28"/>
      <c r="V3" s="28"/>
      <c r="W3" s="28"/>
      <c r="X3" s="28"/>
      <c r="AD3" s="22"/>
    </row>
    <row r="4" spans="1:32" x14ac:dyDescent="0.3">
      <c r="A4" s="198" t="s">
        <v>463</v>
      </c>
      <c r="B4" s="199" t="s">
        <v>196</v>
      </c>
      <c r="C4" s="115" t="s">
        <v>460</v>
      </c>
      <c r="D4" s="684" t="s">
        <v>464</v>
      </c>
      <c r="E4" s="684"/>
      <c r="F4" s="684"/>
      <c r="G4" s="648"/>
      <c r="H4" s="650"/>
      <c r="I4" s="84" t="s">
        <v>465</v>
      </c>
      <c r="J4" s="200"/>
      <c r="K4" s="201"/>
      <c r="L4" s="202"/>
      <c r="M4" s="84"/>
      <c r="N4" s="84"/>
      <c r="O4" s="72"/>
      <c r="P4" s="72"/>
      <c r="Q4" s="72"/>
      <c r="R4" s="72"/>
      <c r="S4" s="28"/>
      <c r="T4" s="28"/>
      <c r="U4" s="28"/>
      <c r="V4" s="28"/>
      <c r="W4" s="28"/>
      <c r="X4" s="28"/>
      <c r="Y4" s="28"/>
      <c r="Z4" s="28"/>
      <c r="AF4" s="22"/>
    </row>
    <row r="5" spans="1:32" x14ac:dyDescent="0.3">
      <c r="A5" s="203" t="s">
        <v>466</v>
      </c>
      <c r="B5" s="199" t="s">
        <v>192</v>
      </c>
      <c r="C5" s="115" t="s">
        <v>460</v>
      </c>
      <c r="D5" s="684" t="s">
        <v>464</v>
      </c>
      <c r="E5" s="684"/>
      <c r="F5" s="684"/>
      <c r="G5" s="648"/>
      <c r="H5" s="650"/>
      <c r="I5" s="84" t="s">
        <v>465</v>
      </c>
      <c r="J5" s="204"/>
      <c r="K5" s="202"/>
      <c r="L5" s="202"/>
      <c r="M5" s="205"/>
      <c r="N5" s="205"/>
      <c r="O5" s="72"/>
      <c r="P5" s="72"/>
      <c r="Q5" s="28"/>
      <c r="R5" s="28"/>
      <c r="S5" s="28"/>
      <c r="T5" s="28"/>
      <c r="U5" s="28"/>
      <c r="V5" s="28"/>
      <c r="W5" s="28"/>
      <c r="X5" s="28"/>
      <c r="Y5" s="28"/>
      <c r="Z5" s="28"/>
      <c r="AF5" s="22"/>
    </row>
    <row r="6" spans="1:32" x14ac:dyDescent="0.3">
      <c r="A6" s="198" t="s">
        <v>467</v>
      </c>
      <c r="B6" s="199" t="s">
        <v>192</v>
      </c>
      <c r="C6" s="115" t="s">
        <v>460</v>
      </c>
      <c r="D6" s="684" t="s">
        <v>464</v>
      </c>
      <c r="E6" s="684"/>
      <c r="F6" s="684"/>
      <c r="G6" s="648"/>
      <c r="H6" s="650"/>
      <c r="I6" s="84" t="s">
        <v>465</v>
      </c>
      <c r="J6" s="204"/>
      <c r="K6" s="202"/>
      <c r="L6" s="202"/>
      <c r="M6" s="205"/>
      <c r="N6" s="205"/>
      <c r="O6" s="72"/>
      <c r="P6" s="72"/>
      <c r="Q6" s="28"/>
      <c r="R6" s="28"/>
      <c r="S6" s="28"/>
      <c r="T6" s="28"/>
      <c r="U6" s="28"/>
      <c r="V6" s="28"/>
      <c r="W6" s="28"/>
      <c r="X6" s="28"/>
      <c r="Y6" s="28"/>
      <c r="Z6" s="28"/>
      <c r="AF6" s="22"/>
    </row>
    <row r="7" spans="1:32" x14ac:dyDescent="0.3">
      <c r="A7" s="198" t="s">
        <v>468</v>
      </c>
      <c r="B7" s="199" t="s">
        <v>192</v>
      </c>
      <c r="C7" s="206" t="s">
        <v>459</v>
      </c>
      <c r="D7" s="684" t="s">
        <v>464</v>
      </c>
      <c r="E7" s="684"/>
      <c r="F7" s="684"/>
      <c r="G7" s="648"/>
      <c r="H7" s="650"/>
      <c r="I7" s="84" t="s">
        <v>465</v>
      </c>
      <c r="J7" s="207"/>
      <c r="K7" s="202"/>
      <c r="L7" s="202"/>
      <c r="M7" s="205"/>
      <c r="N7" s="205"/>
      <c r="O7" s="72"/>
      <c r="P7" s="72"/>
      <c r="Q7" s="28"/>
      <c r="R7" s="28"/>
      <c r="S7" s="28"/>
      <c r="T7" s="28"/>
      <c r="U7" s="28"/>
      <c r="V7" s="28"/>
      <c r="W7" s="28"/>
      <c r="X7" s="28"/>
      <c r="Y7" s="28"/>
      <c r="Z7" s="28"/>
      <c r="AF7" s="22"/>
    </row>
    <row r="8" spans="1:32" x14ac:dyDescent="0.3">
      <c r="A8" s="198" t="s">
        <v>469</v>
      </c>
      <c r="B8" s="199" t="s">
        <v>196</v>
      </c>
      <c r="C8" s="206" t="s">
        <v>470</v>
      </c>
      <c r="D8" s="684" t="s">
        <v>464</v>
      </c>
      <c r="E8" s="684"/>
      <c r="F8" s="684"/>
      <c r="G8" s="648"/>
      <c r="H8" s="650"/>
      <c r="I8" s="84" t="s">
        <v>465</v>
      </c>
      <c r="J8" s="200"/>
      <c r="K8" s="202"/>
      <c r="L8" s="202"/>
      <c r="M8" s="84"/>
      <c r="N8" s="205"/>
      <c r="O8" s="72"/>
      <c r="P8" s="72"/>
      <c r="Q8" s="28"/>
      <c r="R8" s="28"/>
      <c r="S8" s="28"/>
      <c r="T8" s="28"/>
      <c r="U8" s="28"/>
      <c r="V8" s="28"/>
      <c r="W8" s="28"/>
      <c r="X8" s="28"/>
      <c r="Y8" s="28"/>
      <c r="Z8" s="28"/>
      <c r="AF8" s="11"/>
    </row>
    <row r="9" spans="1:32" x14ac:dyDescent="0.3">
      <c r="A9" s="198" t="s">
        <v>471</v>
      </c>
      <c r="B9" s="199" t="s">
        <v>196</v>
      </c>
      <c r="C9" s="115" t="s">
        <v>460</v>
      </c>
      <c r="D9" s="684" t="s">
        <v>464</v>
      </c>
      <c r="E9" s="684"/>
      <c r="F9" s="684"/>
      <c r="G9" s="648"/>
      <c r="H9" s="650"/>
      <c r="I9" s="84" t="s">
        <v>465</v>
      </c>
      <c r="J9" s="200"/>
      <c r="K9" s="202"/>
      <c r="L9" s="202"/>
      <c r="M9" s="84"/>
      <c r="N9" s="205"/>
      <c r="O9" s="72"/>
      <c r="P9" s="72"/>
      <c r="Q9" s="28"/>
      <c r="R9" s="28"/>
      <c r="S9" s="28"/>
      <c r="T9" s="28"/>
      <c r="U9" s="28"/>
      <c r="V9" s="28"/>
      <c r="W9" s="28"/>
      <c r="X9" s="28"/>
      <c r="Y9" s="28"/>
      <c r="Z9" s="28"/>
      <c r="AF9" s="11"/>
    </row>
    <row r="10" spans="1:32" x14ac:dyDescent="0.3">
      <c r="A10" s="198" t="s">
        <v>472</v>
      </c>
      <c r="B10" s="199" t="s">
        <v>214</v>
      </c>
      <c r="C10" s="115" t="s">
        <v>460</v>
      </c>
      <c r="D10" s="648" t="s">
        <v>473</v>
      </c>
      <c r="E10" s="649"/>
      <c r="F10" s="650"/>
      <c r="G10" s="648"/>
      <c r="H10" s="650"/>
      <c r="I10" s="84" t="s">
        <v>474</v>
      </c>
      <c r="J10" s="200"/>
      <c r="K10" s="202"/>
      <c r="L10" s="202"/>
      <c r="M10" s="84"/>
      <c r="N10" s="205"/>
      <c r="O10" s="72"/>
      <c r="P10" s="72"/>
      <c r="Q10" s="28"/>
      <c r="R10" s="28"/>
      <c r="S10" s="28"/>
      <c r="T10" s="28"/>
      <c r="U10" s="28"/>
      <c r="V10" s="28"/>
      <c r="W10" s="28"/>
      <c r="X10" s="28"/>
      <c r="Y10" s="28"/>
      <c r="Z10" s="28"/>
      <c r="AF10" s="11"/>
    </row>
    <row r="11" spans="1:32" x14ac:dyDescent="0.3">
      <c r="A11" s="198" t="s">
        <v>475</v>
      </c>
      <c r="B11" s="199" t="s">
        <v>196</v>
      </c>
      <c r="C11" s="206" t="s">
        <v>476</v>
      </c>
      <c r="D11" s="684" t="s">
        <v>464</v>
      </c>
      <c r="E11" s="684"/>
      <c r="F11" s="684"/>
      <c r="G11" s="648"/>
      <c r="H11" s="650"/>
      <c r="I11" s="84" t="s">
        <v>465</v>
      </c>
      <c r="J11" s="200"/>
      <c r="K11" s="202"/>
      <c r="L11" s="202"/>
      <c r="M11" s="84"/>
      <c r="N11" s="205"/>
      <c r="O11" s="72"/>
      <c r="P11" s="72"/>
      <c r="Q11" s="28"/>
      <c r="R11" s="28"/>
      <c r="S11" s="28"/>
      <c r="T11" s="28"/>
      <c r="U11" s="28"/>
      <c r="V11" s="28"/>
      <c r="W11" s="28"/>
      <c r="X11" s="28"/>
      <c r="Y11" s="28"/>
      <c r="Z11" s="28"/>
      <c r="AF11" s="11"/>
    </row>
    <row r="12" spans="1:32" x14ac:dyDescent="0.3">
      <c r="A12" s="198" t="s">
        <v>477</v>
      </c>
      <c r="B12" s="199" t="s">
        <v>192</v>
      </c>
      <c r="C12" s="115" t="s">
        <v>460</v>
      </c>
      <c r="D12" s="686" t="s">
        <v>478</v>
      </c>
      <c r="E12" s="686"/>
      <c r="F12" s="686"/>
      <c r="G12" s="648" t="s">
        <v>479</v>
      </c>
      <c r="H12" s="650"/>
      <c r="I12" s="84" t="s">
        <v>465</v>
      </c>
      <c r="J12" s="200"/>
      <c r="K12" s="202"/>
      <c r="L12" s="202"/>
      <c r="M12" s="84"/>
      <c r="N12" s="205"/>
      <c r="O12" s="72"/>
      <c r="P12" s="72"/>
      <c r="Q12" s="28"/>
      <c r="R12" s="28"/>
      <c r="S12" s="28"/>
      <c r="T12" s="28"/>
      <c r="U12" s="28"/>
      <c r="V12" s="28"/>
      <c r="W12" s="28"/>
      <c r="X12" s="28"/>
      <c r="Y12" s="28"/>
      <c r="Z12" s="28"/>
      <c r="AF12" s="11"/>
    </row>
    <row r="13" spans="1:32" x14ac:dyDescent="0.3">
      <c r="A13" s="198" t="s">
        <v>480</v>
      </c>
      <c r="B13" s="199" t="s">
        <v>192</v>
      </c>
      <c r="C13" s="115" t="s">
        <v>460</v>
      </c>
      <c r="D13" s="684" t="s">
        <v>464</v>
      </c>
      <c r="E13" s="684"/>
      <c r="F13" s="684"/>
      <c r="G13" s="648"/>
      <c r="H13" s="650"/>
      <c r="I13" s="84" t="s">
        <v>465</v>
      </c>
      <c r="J13" s="200"/>
      <c r="K13" s="202"/>
      <c r="L13" s="202"/>
      <c r="M13" s="84"/>
      <c r="N13" s="205"/>
      <c r="O13" s="72"/>
      <c r="P13" s="72"/>
      <c r="Q13" s="28"/>
      <c r="R13" s="28"/>
      <c r="S13" s="28"/>
      <c r="T13" s="28"/>
      <c r="U13" s="28"/>
      <c r="V13" s="28"/>
      <c r="W13" s="28"/>
      <c r="X13" s="28"/>
      <c r="Y13" s="28"/>
      <c r="Z13" s="28"/>
      <c r="AF13" s="11"/>
    </row>
    <row r="14" spans="1:32" x14ac:dyDescent="0.3">
      <c r="A14" s="198" t="s">
        <v>481</v>
      </c>
      <c r="B14" s="199" t="s">
        <v>482</v>
      </c>
      <c r="C14" s="208" t="s">
        <v>483</v>
      </c>
      <c r="D14" s="648" t="s">
        <v>484</v>
      </c>
      <c r="E14" s="649"/>
      <c r="F14" s="650"/>
      <c r="G14" s="648"/>
      <c r="H14" s="650"/>
      <c r="I14" s="84" t="s">
        <v>485</v>
      </c>
      <c r="J14" s="200"/>
      <c r="K14" s="202"/>
      <c r="L14" s="202"/>
      <c r="M14" s="84"/>
      <c r="N14" s="205"/>
      <c r="O14" s="72"/>
      <c r="P14" s="72"/>
      <c r="Q14" s="28"/>
      <c r="R14" s="28"/>
      <c r="S14" s="28"/>
      <c r="T14" s="28"/>
      <c r="U14" s="28"/>
      <c r="V14" s="28"/>
      <c r="W14" s="28"/>
      <c r="X14" s="28"/>
      <c r="Y14" s="28"/>
      <c r="Z14" s="28"/>
      <c r="AF14" s="11"/>
    </row>
    <row r="15" spans="1:32" x14ac:dyDescent="0.3">
      <c r="A15" s="198" t="s">
        <v>486</v>
      </c>
      <c r="B15" s="199" t="s">
        <v>178</v>
      </c>
      <c r="C15" s="206" t="s">
        <v>460</v>
      </c>
      <c r="D15" s="648" t="s">
        <v>487</v>
      </c>
      <c r="E15" s="649"/>
      <c r="F15" s="650"/>
      <c r="G15" s="648"/>
      <c r="H15" s="650"/>
      <c r="I15" s="84" t="s">
        <v>474</v>
      </c>
      <c r="J15" s="200"/>
      <c r="K15" s="202"/>
      <c r="L15" s="202"/>
      <c r="M15" s="84"/>
      <c r="N15" s="205"/>
      <c r="O15" s="72"/>
      <c r="P15" s="72"/>
      <c r="Q15" s="28"/>
      <c r="R15" s="28"/>
      <c r="S15" s="28"/>
      <c r="T15" s="28"/>
      <c r="U15" s="28"/>
      <c r="V15" s="28"/>
      <c r="W15" s="28"/>
      <c r="X15" s="28"/>
      <c r="Y15" s="28"/>
      <c r="Z15" s="28"/>
      <c r="AF15" s="11"/>
    </row>
    <row r="16" spans="1:32" x14ac:dyDescent="0.3">
      <c r="A16" s="198" t="s">
        <v>488</v>
      </c>
      <c r="B16" s="199" t="s">
        <v>214</v>
      </c>
      <c r="C16" s="206" t="s">
        <v>470</v>
      </c>
      <c r="D16" s="648" t="s">
        <v>489</v>
      </c>
      <c r="E16" s="649"/>
      <c r="F16" s="650"/>
      <c r="G16" s="648"/>
      <c r="H16" s="650"/>
      <c r="I16" s="84" t="s">
        <v>490</v>
      </c>
      <c r="J16" s="200"/>
      <c r="K16" s="202"/>
      <c r="L16" s="202"/>
      <c r="M16" s="84"/>
      <c r="N16" s="205"/>
      <c r="O16" s="72"/>
      <c r="P16" s="72"/>
      <c r="Q16" s="28"/>
      <c r="R16" s="28"/>
      <c r="S16" s="28"/>
      <c r="T16" s="28"/>
      <c r="U16" s="28"/>
      <c r="V16" s="28"/>
      <c r="W16" s="28"/>
      <c r="X16" s="28"/>
      <c r="Y16" s="28"/>
      <c r="Z16" s="28"/>
      <c r="AF16" s="11"/>
    </row>
    <row r="17" spans="1:32" x14ac:dyDescent="0.3">
      <c r="A17" s="198" t="s">
        <v>491</v>
      </c>
      <c r="B17" s="199" t="s">
        <v>196</v>
      </c>
      <c r="C17" s="115" t="s">
        <v>460</v>
      </c>
      <c r="D17" s="684" t="s">
        <v>464</v>
      </c>
      <c r="E17" s="684"/>
      <c r="F17" s="684"/>
      <c r="G17" s="648"/>
      <c r="H17" s="650"/>
      <c r="I17" s="84" t="s">
        <v>465</v>
      </c>
      <c r="J17" s="200"/>
      <c r="K17" s="202"/>
      <c r="L17" s="202"/>
      <c r="M17" s="84"/>
      <c r="N17" s="205"/>
      <c r="O17" s="72"/>
      <c r="P17" s="72"/>
      <c r="Q17" s="28"/>
      <c r="R17" s="28"/>
      <c r="S17" s="28"/>
      <c r="T17" s="28"/>
      <c r="U17" s="28"/>
      <c r="V17" s="28"/>
      <c r="W17" s="28"/>
      <c r="X17" s="28"/>
      <c r="Y17" s="28"/>
      <c r="Z17" s="28"/>
      <c r="AF17" s="11"/>
    </row>
    <row r="18" spans="1:32" x14ac:dyDescent="0.3">
      <c r="A18" s="198" t="s">
        <v>492</v>
      </c>
      <c r="B18" s="199" t="s">
        <v>493</v>
      </c>
      <c r="C18" s="208" t="s">
        <v>483</v>
      </c>
      <c r="D18" s="648" t="s">
        <v>494</v>
      </c>
      <c r="E18" s="649"/>
      <c r="F18" s="650"/>
      <c r="G18" s="648"/>
      <c r="H18" s="650"/>
      <c r="I18" s="84" t="s">
        <v>495</v>
      </c>
      <c r="J18" s="200"/>
      <c r="K18" s="202"/>
      <c r="L18" s="202"/>
      <c r="M18" s="84"/>
      <c r="N18" s="205"/>
      <c r="O18" s="72"/>
      <c r="P18" s="72"/>
      <c r="Q18" s="28"/>
      <c r="R18" s="28"/>
      <c r="S18" s="28"/>
      <c r="T18" s="28"/>
      <c r="U18" s="28"/>
      <c r="V18" s="28"/>
      <c r="W18" s="28"/>
      <c r="X18" s="28"/>
      <c r="Y18" s="28"/>
      <c r="Z18" s="28"/>
      <c r="AF18" s="11"/>
    </row>
    <row r="19" spans="1:32" x14ac:dyDescent="0.3">
      <c r="A19" s="198" t="s">
        <v>496</v>
      </c>
      <c r="B19" s="199" t="s">
        <v>214</v>
      </c>
      <c r="C19" s="206" t="s">
        <v>497</v>
      </c>
      <c r="D19" s="648" t="s">
        <v>473</v>
      </c>
      <c r="E19" s="649"/>
      <c r="F19" s="650"/>
      <c r="G19" s="648"/>
      <c r="H19" s="650"/>
      <c r="I19" s="84" t="s">
        <v>474</v>
      </c>
      <c r="J19" s="200"/>
      <c r="K19" s="202"/>
      <c r="L19" s="202"/>
      <c r="M19" s="84"/>
      <c r="N19" s="205"/>
      <c r="O19" s="72"/>
      <c r="P19" s="72"/>
      <c r="Q19" s="28"/>
      <c r="R19" s="28"/>
      <c r="S19" s="28"/>
      <c r="T19" s="28"/>
      <c r="U19" s="28"/>
      <c r="V19" s="28"/>
      <c r="W19" s="28"/>
      <c r="X19" s="28"/>
      <c r="Y19" s="28"/>
      <c r="Z19" s="28"/>
      <c r="AF19" s="11"/>
    </row>
    <row r="20" spans="1:32" x14ac:dyDescent="0.3">
      <c r="A20" s="198" t="s">
        <v>498</v>
      </c>
      <c r="B20" s="199" t="s">
        <v>196</v>
      </c>
      <c r="C20" s="209"/>
      <c r="D20" s="651" t="s">
        <v>499</v>
      </c>
      <c r="E20" s="685"/>
      <c r="F20" s="652"/>
      <c r="G20" s="648" t="s">
        <v>500</v>
      </c>
      <c r="H20" s="650"/>
      <c r="I20" s="84"/>
      <c r="J20" s="200"/>
      <c r="K20" s="202"/>
      <c r="L20" s="202"/>
      <c r="M20" s="84"/>
      <c r="N20" s="205"/>
      <c r="O20" s="72"/>
      <c r="P20" s="72"/>
      <c r="Q20" s="28"/>
      <c r="R20" s="28"/>
      <c r="S20" s="28"/>
      <c r="T20" s="28"/>
      <c r="U20" s="28"/>
      <c r="V20" s="28"/>
      <c r="W20" s="28"/>
      <c r="X20" s="28"/>
      <c r="Y20" s="28"/>
      <c r="Z20" s="28"/>
      <c r="AF20" s="11"/>
    </row>
    <row r="21" spans="1:32" x14ac:dyDescent="0.3">
      <c r="A21" s="198" t="s">
        <v>501</v>
      </c>
      <c r="B21" s="199" t="s">
        <v>502</v>
      </c>
      <c r="C21" s="208" t="s">
        <v>483</v>
      </c>
      <c r="D21" s="648" t="s">
        <v>503</v>
      </c>
      <c r="E21" s="649"/>
      <c r="F21" s="650"/>
      <c r="G21" s="648"/>
      <c r="H21" s="650"/>
      <c r="I21" s="84"/>
      <c r="J21" s="200"/>
      <c r="K21" s="202"/>
      <c r="L21" s="202"/>
      <c r="M21" s="84"/>
      <c r="N21" s="205"/>
      <c r="O21" s="72"/>
      <c r="P21" s="72"/>
      <c r="Q21" s="28"/>
      <c r="R21" s="28"/>
      <c r="S21" s="28"/>
      <c r="T21" s="28"/>
      <c r="U21" s="28"/>
      <c r="V21" s="28"/>
      <c r="W21" s="28"/>
      <c r="X21" s="28"/>
      <c r="Y21" s="28"/>
      <c r="Z21" s="28"/>
      <c r="AF21" s="11"/>
    </row>
    <row r="22" spans="1:32" x14ac:dyDescent="0.3">
      <c r="A22" s="198" t="s">
        <v>504</v>
      </c>
      <c r="B22" s="199" t="s">
        <v>505</v>
      </c>
      <c r="C22" s="208" t="s">
        <v>483</v>
      </c>
      <c r="D22" s="648" t="s">
        <v>494</v>
      </c>
      <c r="E22" s="649"/>
      <c r="F22" s="650"/>
      <c r="G22" s="648"/>
      <c r="H22" s="650"/>
      <c r="I22" s="84"/>
      <c r="J22" s="200"/>
      <c r="K22" s="202"/>
      <c r="L22" s="202"/>
      <c r="M22" s="84"/>
      <c r="N22" s="205"/>
      <c r="O22" s="72"/>
      <c r="P22" s="72"/>
      <c r="Q22" s="28"/>
      <c r="R22" s="28"/>
      <c r="S22" s="28"/>
      <c r="T22" s="28"/>
      <c r="U22" s="28"/>
      <c r="V22" s="28"/>
      <c r="W22" s="28"/>
      <c r="X22" s="28"/>
      <c r="Y22" s="28"/>
      <c r="Z22" s="28"/>
      <c r="AF22" s="11"/>
    </row>
    <row r="23" spans="1:32" x14ac:dyDescent="0.3">
      <c r="A23" s="198" t="s">
        <v>506</v>
      </c>
      <c r="B23" s="199" t="s">
        <v>196</v>
      </c>
      <c r="C23" s="115" t="s">
        <v>460</v>
      </c>
      <c r="D23" s="684" t="s">
        <v>464</v>
      </c>
      <c r="E23" s="684"/>
      <c r="F23" s="684"/>
      <c r="G23" s="648"/>
      <c r="H23" s="650"/>
      <c r="I23" s="84" t="s">
        <v>465</v>
      </c>
      <c r="J23" s="200"/>
      <c r="K23" s="202"/>
      <c r="L23" s="202"/>
      <c r="M23" s="84"/>
      <c r="N23" s="205"/>
      <c r="O23" s="72"/>
      <c r="P23" s="72"/>
      <c r="Q23" s="28"/>
      <c r="R23" s="28"/>
      <c r="S23" s="28"/>
      <c r="T23" s="28"/>
      <c r="U23" s="28"/>
      <c r="V23" s="28"/>
      <c r="W23" s="28"/>
      <c r="X23" s="28"/>
      <c r="Y23" s="28"/>
      <c r="Z23" s="28"/>
      <c r="AF23" s="11"/>
    </row>
    <row r="24" spans="1:32" x14ac:dyDescent="0.3">
      <c r="A24" s="198" t="s">
        <v>507</v>
      </c>
      <c r="B24" s="199" t="s">
        <v>196</v>
      </c>
      <c r="C24" s="115" t="s">
        <v>460</v>
      </c>
      <c r="D24" s="684" t="s">
        <v>464</v>
      </c>
      <c r="E24" s="684"/>
      <c r="F24" s="684"/>
      <c r="G24" s="648"/>
      <c r="H24" s="650"/>
      <c r="I24" s="84" t="s">
        <v>465</v>
      </c>
      <c r="J24" s="200"/>
      <c r="K24" s="202"/>
      <c r="L24" s="202"/>
      <c r="M24" s="84"/>
      <c r="N24" s="205"/>
      <c r="O24" s="72"/>
      <c r="P24" s="72"/>
      <c r="Q24" s="28"/>
      <c r="R24" s="28"/>
      <c r="S24" s="28"/>
      <c r="T24" s="28"/>
      <c r="U24" s="28"/>
      <c r="V24" s="28"/>
      <c r="W24" s="28"/>
      <c r="X24" s="28"/>
      <c r="Y24" s="28"/>
      <c r="Z24" s="28"/>
      <c r="AF24" s="11"/>
    </row>
    <row r="25" spans="1:32" x14ac:dyDescent="0.3">
      <c r="A25" s="198" t="s">
        <v>508</v>
      </c>
      <c r="B25" s="199" t="s">
        <v>196</v>
      </c>
      <c r="C25" s="206" t="s">
        <v>497</v>
      </c>
      <c r="D25" s="684" t="s">
        <v>464</v>
      </c>
      <c r="E25" s="684"/>
      <c r="F25" s="684"/>
      <c r="G25" s="648"/>
      <c r="H25" s="650"/>
      <c r="I25" s="84" t="s">
        <v>465</v>
      </c>
      <c r="J25" s="200"/>
      <c r="K25" s="202"/>
      <c r="L25" s="202"/>
      <c r="M25" s="84"/>
      <c r="N25" s="205"/>
      <c r="O25" s="72"/>
      <c r="P25" s="72"/>
      <c r="Q25" s="28"/>
      <c r="R25" s="28"/>
      <c r="S25" s="28"/>
      <c r="T25" s="28"/>
      <c r="U25" s="28"/>
      <c r="V25" s="28"/>
      <c r="W25" s="28"/>
      <c r="X25" s="28"/>
      <c r="Y25" s="28"/>
      <c r="Z25" s="28"/>
      <c r="AF25" s="11"/>
    </row>
    <row r="26" spans="1:32" x14ac:dyDescent="0.3">
      <c r="A26" s="198" t="s">
        <v>509</v>
      </c>
      <c r="B26" s="199" t="s">
        <v>192</v>
      </c>
      <c r="C26" s="206" t="s">
        <v>510</v>
      </c>
      <c r="D26" s="684" t="s">
        <v>464</v>
      </c>
      <c r="E26" s="684"/>
      <c r="F26" s="684"/>
      <c r="G26" s="648"/>
      <c r="H26" s="650"/>
      <c r="I26" s="84" t="s">
        <v>465</v>
      </c>
      <c r="J26" s="200"/>
      <c r="K26" s="202"/>
      <c r="L26" s="202"/>
      <c r="M26" s="84"/>
      <c r="N26" s="205"/>
      <c r="O26" s="72"/>
      <c r="P26" s="72"/>
      <c r="Q26" s="28"/>
      <c r="R26" s="28"/>
      <c r="S26" s="28"/>
      <c r="T26" s="28"/>
      <c r="U26" s="28"/>
      <c r="V26" s="28"/>
      <c r="W26" s="28"/>
      <c r="X26" s="28"/>
      <c r="Y26" s="28"/>
      <c r="Z26" s="28"/>
      <c r="AF26" s="11"/>
    </row>
    <row r="27" spans="1:32" x14ac:dyDescent="0.3">
      <c r="A27" s="198" t="s">
        <v>511</v>
      </c>
      <c r="B27" s="199" t="s">
        <v>214</v>
      </c>
      <c r="C27" s="206" t="s">
        <v>460</v>
      </c>
      <c r="D27" s="648" t="s">
        <v>512</v>
      </c>
      <c r="E27" s="649"/>
      <c r="F27" s="650"/>
      <c r="G27" s="648"/>
      <c r="H27" s="650"/>
      <c r="I27" s="84" t="s">
        <v>513</v>
      </c>
      <c r="J27" s="200"/>
      <c r="K27" s="202"/>
      <c r="L27" s="202"/>
      <c r="M27" s="84"/>
      <c r="N27" s="205"/>
      <c r="O27" s="72"/>
      <c r="P27" s="72"/>
      <c r="Q27" s="28"/>
      <c r="R27" s="28"/>
      <c r="S27" s="28"/>
      <c r="T27" s="28"/>
      <c r="U27" s="28"/>
      <c r="V27" s="28"/>
      <c r="W27" s="28"/>
      <c r="X27" s="28"/>
      <c r="Y27" s="28"/>
      <c r="Z27" s="28"/>
      <c r="AF27" s="11"/>
    </row>
    <row r="28" spans="1:32" x14ac:dyDescent="0.3">
      <c r="A28" s="198" t="s">
        <v>514</v>
      </c>
      <c r="B28" s="199" t="s">
        <v>214</v>
      </c>
      <c r="C28" s="208" t="s">
        <v>483</v>
      </c>
      <c r="D28" s="648" t="s">
        <v>515</v>
      </c>
      <c r="E28" s="649"/>
      <c r="F28" s="650"/>
      <c r="G28" s="648"/>
      <c r="H28" s="650"/>
      <c r="I28" s="84" t="s">
        <v>516</v>
      </c>
      <c r="J28" s="200"/>
      <c r="K28" s="202"/>
      <c r="L28" s="202"/>
      <c r="M28" s="84"/>
      <c r="N28" s="205"/>
      <c r="O28" s="72"/>
      <c r="P28" s="72"/>
      <c r="Q28" s="28"/>
      <c r="R28" s="28"/>
      <c r="S28" s="28"/>
      <c r="T28" s="28"/>
      <c r="U28" s="28"/>
      <c r="V28" s="28"/>
      <c r="W28" s="28"/>
      <c r="X28" s="28"/>
      <c r="Y28" s="28"/>
      <c r="Z28" s="28"/>
      <c r="AF28" s="11"/>
    </row>
    <row r="29" spans="1:32" x14ac:dyDescent="0.3">
      <c r="A29" s="198" t="s">
        <v>517</v>
      </c>
      <c r="B29" s="199" t="s">
        <v>482</v>
      </c>
      <c r="C29" s="206" t="s">
        <v>460</v>
      </c>
      <c r="D29" s="648" t="s">
        <v>512</v>
      </c>
      <c r="E29" s="649"/>
      <c r="F29" s="650"/>
      <c r="G29" s="648"/>
      <c r="H29" s="650"/>
      <c r="I29" s="84" t="s">
        <v>513</v>
      </c>
      <c r="J29" s="200"/>
      <c r="K29" s="202"/>
      <c r="L29" s="202"/>
      <c r="M29" s="84"/>
      <c r="N29" s="205"/>
      <c r="O29" s="72"/>
      <c r="P29" s="72"/>
      <c r="Q29" s="28"/>
      <c r="R29" s="28"/>
      <c r="S29" s="28"/>
      <c r="T29" s="28"/>
      <c r="U29" s="28"/>
      <c r="V29" s="28"/>
      <c r="W29" s="28"/>
      <c r="X29" s="28"/>
      <c r="Y29" s="28"/>
      <c r="Z29" s="28"/>
      <c r="AF29" s="11"/>
    </row>
    <row r="30" spans="1:32" x14ac:dyDescent="0.3">
      <c r="A30" s="198" t="s">
        <v>518</v>
      </c>
      <c r="B30" s="199" t="s">
        <v>482</v>
      </c>
      <c r="C30" s="208" t="s">
        <v>483</v>
      </c>
      <c r="D30" s="648" t="s">
        <v>519</v>
      </c>
      <c r="E30" s="649"/>
      <c r="F30" s="650"/>
      <c r="G30" s="648"/>
      <c r="H30" s="650"/>
      <c r="I30" s="84" t="s">
        <v>520</v>
      </c>
      <c r="J30" s="200"/>
      <c r="K30" s="202"/>
      <c r="L30" s="202"/>
      <c r="M30" s="84"/>
      <c r="N30" s="205"/>
      <c r="O30" s="72"/>
      <c r="P30" s="72"/>
      <c r="Q30" s="28"/>
      <c r="R30" s="28"/>
      <c r="S30" s="28"/>
      <c r="T30" s="28"/>
      <c r="U30" s="28"/>
      <c r="V30" s="28"/>
      <c r="W30" s="28"/>
      <c r="X30" s="28"/>
      <c r="Y30" s="28"/>
      <c r="Z30" s="28"/>
      <c r="AF30" s="11"/>
    </row>
    <row r="31" spans="1:32" x14ac:dyDescent="0.3">
      <c r="A31" s="198" t="s">
        <v>521</v>
      </c>
      <c r="B31" s="199" t="s">
        <v>482</v>
      </c>
      <c r="C31" s="208" t="s">
        <v>483</v>
      </c>
      <c r="D31" s="648" t="s">
        <v>484</v>
      </c>
      <c r="E31" s="649"/>
      <c r="F31" s="650"/>
      <c r="G31" s="648"/>
      <c r="H31" s="650"/>
      <c r="I31" s="84" t="s">
        <v>522</v>
      </c>
      <c r="J31" s="200"/>
      <c r="K31" s="202"/>
      <c r="L31" s="202"/>
      <c r="M31" s="84"/>
      <c r="N31" s="205"/>
      <c r="O31" s="72"/>
      <c r="P31" s="72"/>
      <c r="Q31" s="28"/>
      <c r="R31" s="28"/>
      <c r="S31" s="28"/>
      <c r="T31" s="28"/>
      <c r="U31" s="28"/>
      <c r="V31" s="28"/>
      <c r="W31" s="28"/>
      <c r="X31" s="28"/>
      <c r="Y31" s="28"/>
      <c r="Z31" s="28"/>
      <c r="AF31" s="11"/>
    </row>
    <row r="32" spans="1:32" x14ac:dyDescent="0.3">
      <c r="A32" s="198" t="s">
        <v>523</v>
      </c>
      <c r="B32" s="199" t="s">
        <v>192</v>
      </c>
      <c r="C32" s="115" t="s">
        <v>460</v>
      </c>
      <c r="D32" s="684" t="s">
        <v>464</v>
      </c>
      <c r="E32" s="684"/>
      <c r="F32" s="684"/>
      <c r="G32" s="648"/>
      <c r="H32" s="650"/>
      <c r="I32" s="84" t="s">
        <v>465</v>
      </c>
      <c r="J32" s="200"/>
      <c r="K32" s="202"/>
      <c r="L32" s="202"/>
      <c r="M32" s="84"/>
      <c r="N32" s="205"/>
      <c r="O32" s="72"/>
      <c r="P32" s="72"/>
      <c r="Q32" s="28"/>
      <c r="R32" s="28"/>
      <c r="S32" s="28"/>
      <c r="T32" s="28"/>
      <c r="U32" s="28"/>
      <c r="V32" s="28"/>
      <c r="W32" s="28"/>
      <c r="X32" s="28"/>
      <c r="Y32" s="28"/>
      <c r="Z32" s="28"/>
      <c r="AF32" s="11"/>
    </row>
    <row r="33" spans="1:32" x14ac:dyDescent="0.3">
      <c r="A33" s="198" t="s">
        <v>524</v>
      </c>
      <c r="B33" s="199" t="s">
        <v>196</v>
      </c>
      <c r="C33" s="208"/>
      <c r="D33" s="651" t="s">
        <v>499</v>
      </c>
      <c r="E33" s="685"/>
      <c r="F33" s="652"/>
      <c r="G33" s="648" t="s">
        <v>500</v>
      </c>
      <c r="H33" s="650"/>
      <c r="I33" s="84" t="s">
        <v>465</v>
      </c>
      <c r="J33" s="200"/>
      <c r="K33" s="202"/>
      <c r="L33" s="202"/>
      <c r="M33" s="84"/>
      <c r="N33" s="205"/>
      <c r="O33" s="72"/>
      <c r="P33" s="72"/>
      <c r="Q33" s="28"/>
      <c r="R33" s="28"/>
      <c r="S33" s="28"/>
      <c r="T33" s="28"/>
      <c r="U33" s="28"/>
      <c r="V33" s="28"/>
      <c r="W33" s="28"/>
      <c r="X33" s="28"/>
      <c r="Y33" s="28"/>
      <c r="Z33" s="28"/>
      <c r="AF33" s="11"/>
    </row>
    <row r="34" spans="1:32" x14ac:dyDescent="0.3">
      <c r="A34" s="198" t="s">
        <v>525</v>
      </c>
      <c r="B34" s="199" t="s">
        <v>482</v>
      </c>
      <c r="C34" s="208" t="s">
        <v>483</v>
      </c>
      <c r="D34" s="648" t="s">
        <v>484</v>
      </c>
      <c r="E34" s="649"/>
      <c r="F34" s="650"/>
      <c r="G34" s="648"/>
      <c r="H34" s="650"/>
      <c r="I34" s="84" t="s">
        <v>522</v>
      </c>
      <c r="J34" s="200"/>
      <c r="K34" s="202"/>
      <c r="L34" s="202"/>
      <c r="M34" s="84"/>
      <c r="N34" s="205"/>
      <c r="O34" s="72"/>
      <c r="P34" s="72"/>
      <c r="Q34" s="28"/>
      <c r="R34" s="28"/>
      <c r="S34" s="28"/>
      <c r="T34" s="28"/>
      <c r="U34" s="28"/>
      <c r="V34" s="28"/>
      <c r="W34" s="28"/>
      <c r="X34" s="28"/>
      <c r="Y34" s="28"/>
      <c r="Z34" s="28"/>
      <c r="AF34" s="11"/>
    </row>
    <row r="35" spans="1:32" x14ac:dyDescent="0.3">
      <c r="A35" s="198" t="s">
        <v>526</v>
      </c>
      <c r="B35" s="199" t="s">
        <v>482</v>
      </c>
      <c r="C35" s="208" t="s">
        <v>483</v>
      </c>
      <c r="D35" s="648" t="s">
        <v>484</v>
      </c>
      <c r="E35" s="649"/>
      <c r="F35" s="650"/>
      <c r="G35" s="648"/>
      <c r="H35" s="650"/>
      <c r="I35" s="84" t="s">
        <v>522</v>
      </c>
      <c r="J35" s="200"/>
      <c r="K35" s="202"/>
      <c r="L35" s="202"/>
      <c r="M35" s="84"/>
      <c r="N35" s="205"/>
      <c r="O35" s="72"/>
      <c r="P35" s="72"/>
      <c r="Q35" s="28"/>
      <c r="R35" s="28"/>
      <c r="S35" s="28"/>
      <c r="T35" s="28"/>
      <c r="U35" s="28"/>
      <c r="V35" s="28"/>
      <c r="W35" s="28"/>
      <c r="X35" s="28"/>
      <c r="Y35" s="28"/>
      <c r="Z35" s="28"/>
      <c r="AF35" s="11"/>
    </row>
    <row r="36" spans="1:32" x14ac:dyDescent="0.3">
      <c r="A36" s="198" t="s">
        <v>527</v>
      </c>
      <c r="B36" s="199" t="s">
        <v>196</v>
      </c>
      <c r="C36" s="115" t="s">
        <v>460</v>
      </c>
      <c r="D36" s="684" t="s">
        <v>464</v>
      </c>
      <c r="E36" s="684"/>
      <c r="F36" s="684"/>
      <c r="G36" s="648"/>
      <c r="H36" s="650"/>
      <c r="I36" s="84" t="s">
        <v>465</v>
      </c>
      <c r="J36" s="200"/>
      <c r="K36" s="202"/>
      <c r="L36" s="202"/>
      <c r="M36" s="84"/>
      <c r="N36" s="205"/>
      <c r="O36" s="72"/>
      <c r="P36" s="72"/>
      <c r="Q36" s="28"/>
      <c r="R36" s="28"/>
      <c r="S36" s="28"/>
      <c r="T36" s="28"/>
      <c r="U36" s="28"/>
      <c r="V36" s="28"/>
      <c r="W36" s="28"/>
      <c r="X36" s="28"/>
      <c r="Y36" s="28"/>
      <c r="Z36" s="28"/>
      <c r="AF36" s="11"/>
    </row>
    <row r="37" spans="1:32" x14ac:dyDescent="0.3">
      <c r="A37" s="198" t="s">
        <v>528</v>
      </c>
      <c r="B37" s="199" t="s">
        <v>482</v>
      </c>
      <c r="C37" s="208" t="s">
        <v>483</v>
      </c>
      <c r="D37" s="648" t="s">
        <v>484</v>
      </c>
      <c r="E37" s="649"/>
      <c r="F37" s="650"/>
      <c r="G37" s="648"/>
      <c r="H37" s="650"/>
      <c r="I37" s="84" t="s">
        <v>522</v>
      </c>
      <c r="J37" s="200"/>
      <c r="K37" s="202"/>
      <c r="L37" s="202"/>
      <c r="M37" s="84"/>
      <c r="N37" s="205"/>
      <c r="O37" s="72"/>
      <c r="P37" s="72"/>
      <c r="Q37" s="28"/>
      <c r="R37" s="28"/>
      <c r="S37" s="28"/>
      <c r="T37" s="28"/>
      <c r="U37" s="28"/>
      <c r="V37" s="28"/>
      <c r="W37" s="28"/>
      <c r="X37" s="28"/>
      <c r="Y37" s="28"/>
      <c r="Z37" s="28"/>
      <c r="AF37" s="11"/>
    </row>
    <row r="38" spans="1:32" x14ac:dyDescent="0.3">
      <c r="A38" s="198" t="s">
        <v>529</v>
      </c>
      <c r="B38" s="199" t="s">
        <v>196</v>
      </c>
      <c r="C38" s="206" t="s">
        <v>460</v>
      </c>
      <c r="D38" s="648" t="s">
        <v>530</v>
      </c>
      <c r="E38" s="649"/>
      <c r="F38" s="650"/>
      <c r="G38" s="648"/>
      <c r="H38" s="650"/>
      <c r="I38" s="84" t="s">
        <v>531</v>
      </c>
      <c r="J38" s="200"/>
      <c r="K38" s="202"/>
      <c r="L38" s="202"/>
      <c r="M38" s="84"/>
      <c r="N38" s="205"/>
      <c r="O38" s="72"/>
      <c r="P38" s="72"/>
      <c r="Q38" s="28"/>
      <c r="R38" s="28"/>
      <c r="S38" s="28"/>
      <c r="T38" s="28"/>
      <c r="U38" s="28"/>
      <c r="V38" s="28"/>
      <c r="W38" s="28"/>
      <c r="X38" s="28"/>
      <c r="Y38" s="28"/>
      <c r="Z38" s="28"/>
      <c r="AF38" s="11"/>
    </row>
    <row r="39" spans="1:32" x14ac:dyDescent="0.3">
      <c r="A39" s="198" t="s">
        <v>532</v>
      </c>
      <c r="B39" s="199" t="s">
        <v>192</v>
      </c>
      <c r="C39" s="206" t="s">
        <v>533</v>
      </c>
      <c r="D39" s="648" t="s">
        <v>512</v>
      </c>
      <c r="E39" s="649"/>
      <c r="F39" s="650"/>
      <c r="G39" s="648"/>
      <c r="H39" s="650"/>
      <c r="I39" s="84" t="s">
        <v>513</v>
      </c>
      <c r="J39" s="200"/>
      <c r="K39" s="202"/>
      <c r="L39" s="202"/>
      <c r="M39" s="84"/>
      <c r="N39" s="205"/>
      <c r="O39" s="72"/>
      <c r="P39" s="72"/>
      <c r="Q39" s="28"/>
      <c r="R39" s="28"/>
      <c r="S39" s="28"/>
      <c r="T39" s="28"/>
      <c r="U39" s="28"/>
      <c r="V39" s="28"/>
      <c r="W39" s="28"/>
      <c r="X39" s="28"/>
      <c r="Y39" s="28"/>
      <c r="Z39" s="28"/>
      <c r="AF39" s="11"/>
    </row>
    <row r="40" spans="1:32" x14ac:dyDescent="0.3">
      <c r="A40" s="198" t="s">
        <v>534</v>
      </c>
      <c r="B40" s="199" t="s">
        <v>482</v>
      </c>
      <c r="C40" s="208" t="s">
        <v>483</v>
      </c>
      <c r="D40" s="648" t="s">
        <v>484</v>
      </c>
      <c r="E40" s="649"/>
      <c r="F40" s="650"/>
      <c r="G40" s="648"/>
      <c r="H40" s="650"/>
      <c r="I40" s="84" t="s">
        <v>522</v>
      </c>
      <c r="J40" s="200"/>
      <c r="K40" s="202"/>
      <c r="L40" s="202"/>
      <c r="M40" s="84"/>
      <c r="N40" s="205"/>
      <c r="O40" s="72"/>
      <c r="P40" s="72"/>
      <c r="Q40" s="28"/>
      <c r="R40" s="28"/>
      <c r="S40" s="28"/>
      <c r="T40" s="28"/>
      <c r="U40" s="28"/>
      <c r="V40" s="28"/>
      <c r="W40" s="28"/>
      <c r="X40" s="28"/>
      <c r="Y40" s="28"/>
      <c r="Z40" s="28"/>
      <c r="AF40" s="11"/>
    </row>
    <row r="41" spans="1:32" x14ac:dyDescent="0.3">
      <c r="A41" s="198" t="s">
        <v>535</v>
      </c>
      <c r="B41" s="199" t="s">
        <v>482</v>
      </c>
      <c r="C41" s="208" t="s">
        <v>483</v>
      </c>
      <c r="D41" s="648" t="s">
        <v>536</v>
      </c>
      <c r="E41" s="649"/>
      <c r="F41" s="650"/>
      <c r="G41" s="648"/>
      <c r="H41" s="650"/>
      <c r="I41" s="84" t="s">
        <v>537</v>
      </c>
      <c r="J41" s="200"/>
      <c r="K41" s="202"/>
      <c r="L41" s="202"/>
      <c r="M41" s="84"/>
      <c r="N41" s="205"/>
      <c r="O41" s="72"/>
      <c r="P41" s="72"/>
      <c r="Q41" s="28"/>
      <c r="R41" s="28"/>
      <c r="S41" s="28"/>
      <c r="T41" s="28"/>
      <c r="U41" s="28"/>
      <c r="V41" s="28"/>
      <c r="W41" s="28"/>
      <c r="X41" s="28"/>
      <c r="Y41" s="28"/>
      <c r="Z41" s="28"/>
      <c r="AF41" s="11"/>
    </row>
    <row r="42" spans="1:32" x14ac:dyDescent="0.3">
      <c r="A42" s="41"/>
      <c r="C42" s="12"/>
      <c r="D42" s="623"/>
      <c r="E42" s="623"/>
      <c r="F42" s="623"/>
      <c r="G42" s="25"/>
      <c r="H42" s="25"/>
      <c r="I42" s="25"/>
      <c r="J42" s="30"/>
      <c r="K42" s="25"/>
      <c r="L42" s="73"/>
      <c r="N42" s="72"/>
      <c r="O42" s="72"/>
      <c r="P42" s="72"/>
      <c r="Q42" s="72"/>
      <c r="R42" s="28"/>
      <c r="S42" s="28"/>
      <c r="T42" s="30"/>
      <c r="U42" s="30"/>
      <c r="V42" s="28"/>
      <c r="W42" s="28"/>
      <c r="X42" s="28"/>
      <c r="Y42" s="28"/>
      <c r="AE42" s="22"/>
    </row>
    <row r="43" spans="1:32" x14ac:dyDescent="0.3">
      <c r="A43" s="23" t="s">
        <v>355</v>
      </c>
      <c r="C43" s="12"/>
      <c r="D43" s="623"/>
      <c r="E43" s="623"/>
      <c r="F43" s="623"/>
      <c r="G43" s="25"/>
      <c r="H43" s="25"/>
      <c r="I43" s="25"/>
      <c r="J43" s="30"/>
      <c r="K43" s="25"/>
      <c r="L43" s="27"/>
      <c r="N43" s="72"/>
      <c r="O43" s="72"/>
      <c r="P43" s="72"/>
      <c r="Q43" s="72"/>
      <c r="R43" s="28"/>
      <c r="S43" s="28"/>
      <c r="T43" s="30"/>
      <c r="U43" s="30"/>
      <c r="V43" s="28"/>
      <c r="W43" s="28"/>
      <c r="X43" s="28"/>
      <c r="Y43" s="28"/>
      <c r="AE43" s="22"/>
    </row>
    <row r="44" spans="1:32" x14ac:dyDescent="0.3">
      <c r="A44" s="110" t="s">
        <v>538</v>
      </c>
      <c r="B44" s="4"/>
      <c r="C44" s="31"/>
      <c r="D44" s="633" t="s">
        <v>357</v>
      </c>
      <c r="E44" s="633"/>
      <c r="F44" s="633"/>
      <c r="G44" s="25"/>
      <c r="H44" s="30"/>
      <c r="I44" s="30"/>
      <c r="J44" s="31"/>
      <c r="K44" s="31"/>
      <c r="L44" s="4"/>
      <c r="M44" s="33"/>
      <c r="N44" s="72"/>
      <c r="O44" s="72"/>
      <c r="P44" s="28"/>
      <c r="Q44" s="28"/>
      <c r="R44" s="28"/>
      <c r="S44" s="28"/>
      <c r="T44" s="28"/>
      <c r="U44" s="28"/>
      <c r="V44" s="28"/>
      <c r="W44" s="28"/>
      <c r="X44" s="28"/>
      <c r="Y44" s="28"/>
      <c r="AE44" s="22"/>
    </row>
    <row r="45" spans="1:32" x14ac:dyDescent="0.3">
      <c r="A45" s="110" t="s">
        <v>539</v>
      </c>
      <c r="B45" s="4"/>
      <c r="C45" s="28"/>
      <c r="D45" s="633" t="s">
        <v>357</v>
      </c>
      <c r="E45" s="633"/>
      <c r="F45" s="633"/>
      <c r="G45" s="31"/>
      <c r="H45" s="31"/>
      <c r="I45" s="31"/>
      <c r="J45" s="30"/>
      <c r="K45" s="31"/>
      <c r="L45" s="4"/>
      <c r="M45" s="4"/>
      <c r="N45" s="72"/>
      <c r="O45" s="72"/>
      <c r="P45" s="72"/>
      <c r="Q45" s="72"/>
      <c r="R45" s="28"/>
      <c r="S45" s="28"/>
      <c r="T45" s="28"/>
      <c r="U45" s="28"/>
      <c r="V45" s="28"/>
      <c r="W45" s="28"/>
      <c r="X45" s="28"/>
      <c r="Y45" s="28"/>
      <c r="AE45" s="22"/>
    </row>
    <row r="46" spans="1:32" x14ac:dyDescent="0.3">
      <c r="A46" s="110" t="s">
        <v>540</v>
      </c>
      <c r="B46" s="4"/>
      <c r="C46" s="28"/>
      <c r="D46" s="633" t="s">
        <v>357</v>
      </c>
      <c r="E46" s="633"/>
      <c r="F46" s="633"/>
      <c r="G46" s="31"/>
      <c r="H46" s="31"/>
      <c r="I46" s="31"/>
      <c r="J46" s="30"/>
      <c r="K46" s="31"/>
      <c r="L46" s="4"/>
      <c r="M46" s="4"/>
      <c r="N46" s="72"/>
      <c r="O46" s="72"/>
      <c r="P46" s="72"/>
      <c r="Q46" s="72"/>
      <c r="R46" s="28"/>
      <c r="S46" s="28"/>
      <c r="T46" s="28"/>
      <c r="U46" s="28"/>
      <c r="V46" s="28"/>
      <c r="W46" s="28"/>
      <c r="X46" s="28"/>
      <c r="Y46" s="28"/>
      <c r="AE46" s="22"/>
    </row>
    <row r="47" spans="1:32" x14ac:dyDescent="0.3">
      <c r="A47" s="110" t="s">
        <v>541</v>
      </c>
      <c r="B47" s="4"/>
      <c r="C47" s="28"/>
      <c r="D47" s="633" t="s">
        <v>357</v>
      </c>
      <c r="E47" s="633"/>
      <c r="F47" s="633"/>
      <c r="G47" s="31"/>
      <c r="H47" s="31"/>
      <c r="I47" s="31"/>
      <c r="J47" s="30"/>
      <c r="K47" s="31"/>
      <c r="L47" s="4"/>
      <c r="M47" s="4"/>
      <c r="N47" s="72"/>
      <c r="O47" s="72"/>
      <c r="P47" s="72"/>
      <c r="Q47" s="72"/>
      <c r="R47" s="28"/>
      <c r="S47" s="28"/>
      <c r="T47" s="28"/>
      <c r="U47" s="28"/>
      <c r="V47" s="28"/>
      <c r="W47" s="28"/>
      <c r="X47" s="28"/>
      <c r="Y47" s="28"/>
      <c r="AE47" s="22"/>
    </row>
    <row r="48" spans="1:32" x14ac:dyDescent="0.3">
      <c r="A48" s="110" t="s">
        <v>542</v>
      </c>
      <c r="B48" s="4"/>
      <c r="C48" s="28"/>
      <c r="D48" s="633" t="s">
        <v>357</v>
      </c>
      <c r="E48" s="633"/>
      <c r="F48" s="633"/>
      <c r="G48" s="31"/>
      <c r="H48" s="31"/>
      <c r="I48" s="31"/>
      <c r="J48" s="30"/>
      <c r="K48" s="31"/>
      <c r="L48" s="4"/>
      <c r="M48" s="4"/>
      <c r="N48" s="72"/>
      <c r="O48" s="72"/>
      <c r="P48" s="72"/>
      <c r="Q48" s="72"/>
      <c r="R48" s="28"/>
      <c r="S48" s="28"/>
      <c r="T48" s="28"/>
      <c r="U48" s="28"/>
      <c r="V48" s="28"/>
      <c r="W48" s="28"/>
      <c r="X48" s="28"/>
      <c r="Y48" s="28"/>
      <c r="AE48" s="22"/>
    </row>
    <row r="49" spans="1:38" x14ac:dyDescent="0.3">
      <c r="A49" s="6" t="s">
        <v>543</v>
      </c>
      <c r="D49" s="623" t="s">
        <v>357</v>
      </c>
      <c r="E49" s="623"/>
      <c r="F49" s="623"/>
      <c r="L49" s="4"/>
      <c r="N49" s="28"/>
      <c r="O49" s="28"/>
      <c r="P49" s="28"/>
      <c r="Q49" s="28"/>
      <c r="R49" s="28"/>
      <c r="S49" s="28"/>
      <c r="T49" s="28"/>
      <c r="U49" s="28"/>
      <c r="V49" s="28"/>
      <c r="W49" s="28"/>
      <c r="X49" s="28"/>
      <c r="Y49" s="28"/>
      <c r="AE49" s="22"/>
    </row>
    <row r="50" spans="1:38" x14ac:dyDescent="0.3">
      <c r="A50" s="41"/>
      <c r="C50" s="12"/>
      <c r="D50" s="623"/>
      <c r="E50" s="623"/>
      <c r="F50" s="623"/>
      <c r="G50" s="25"/>
      <c r="H50" s="25"/>
      <c r="I50" s="25"/>
      <c r="J50" s="30"/>
      <c r="K50" s="25"/>
      <c r="L50" s="4"/>
      <c r="N50" s="72"/>
      <c r="O50" s="72"/>
      <c r="P50" s="72"/>
      <c r="Q50" s="72"/>
      <c r="R50" s="28"/>
      <c r="S50" s="28"/>
      <c r="T50" s="30"/>
      <c r="U50" s="30"/>
      <c r="V50" s="28"/>
      <c r="W50" s="28"/>
      <c r="X50" s="28"/>
      <c r="Y50" s="28"/>
      <c r="AE50" s="22"/>
    </row>
    <row r="51" spans="1:38" x14ac:dyDescent="0.3">
      <c r="A51" s="23" t="s">
        <v>364</v>
      </c>
      <c r="B51" s="630" t="s">
        <v>365</v>
      </c>
      <c r="C51" s="630"/>
      <c r="D51" s="630"/>
      <c r="E51" s="630"/>
      <c r="F51" s="630"/>
      <c r="G51" s="630"/>
      <c r="H51" s="630"/>
      <c r="I51" s="630"/>
      <c r="J51" s="630"/>
      <c r="K51" s="630"/>
      <c r="L51" s="630"/>
      <c r="M51" s="4"/>
      <c r="N51" s="557" t="s">
        <v>366</v>
      </c>
      <c r="O51" s="557"/>
      <c r="P51" s="557"/>
      <c r="Q51" s="557"/>
      <c r="R51" s="557"/>
      <c r="S51" s="557"/>
      <c r="T51" s="557"/>
      <c r="U51" s="557"/>
      <c r="V51" s="557"/>
      <c r="W51" s="557"/>
      <c r="X51" s="557"/>
      <c r="Y51" s="557"/>
      <c r="Z51" s="28"/>
      <c r="AA51" s="28"/>
      <c r="AB51" s="28"/>
      <c r="AH51" s="22"/>
    </row>
    <row r="52" spans="1:38" x14ac:dyDescent="0.3">
      <c r="A52" s="41"/>
      <c r="D52" s="28"/>
      <c r="E52" s="623"/>
      <c r="F52" s="623"/>
      <c r="G52" s="623"/>
      <c r="H52" s="28"/>
      <c r="I52" s="28"/>
      <c r="J52" s="70"/>
      <c r="K52" s="12"/>
      <c r="L52" s="12"/>
      <c r="M52" s="4"/>
      <c r="N52" s="39" t="s">
        <v>103</v>
      </c>
      <c r="O52" s="39" t="s">
        <v>68</v>
      </c>
      <c r="P52" s="330" t="s">
        <v>69</v>
      </c>
      <c r="Q52" s="39" t="s">
        <v>70</v>
      </c>
      <c r="R52" s="39" t="s">
        <v>71</v>
      </c>
      <c r="S52" s="39" t="s">
        <v>72</v>
      </c>
      <c r="T52" s="39" t="s">
        <v>73</v>
      </c>
      <c r="U52" s="39" t="s">
        <v>74</v>
      </c>
      <c r="V52" s="39" t="s">
        <v>75</v>
      </c>
      <c r="W52" s="39" t="s">
        <v>76</v>
      </c>
      <c r="X52" s="39" t="s">
        <v>77</v>
      </c>
      <c r="Y52" s="39" t="s">
        <v>78</v>
      </c>
      <c r="AC52" s="28"/>
      <c r="AD52" s="28"/>
      <c r="AE52" s="28"/>
      <c r="AF52" s="28"/>
      <c r="AL52" s="22"/>
    </row>
    <row r="53" spans="1:38" s="98" customFormat="1" ht="48.75" customHeight="1" x14ac:dyDescent="0.3">
      <c r="A53" s="176" t="s">
        <v>171</v>
      </c>
      <c r="B53" s="176" t="s">
        <v>172</v>
      </c>
      <c r="C53" s="48" t="s">
        <v>418</v>
      </c>
      <c r="D53" s="183" t="s">
        <v>444</v>
      </c>
      <c r="E53" s="627" t="s">
        <v>367</v>
      </c>
      <c r="F53" s="628"/>
      <c r="G53" s="628"/>
      <c r="H53" s="629"/>
      <c r="I53" s="108"/>
      <c r="J53" s="182" t="s">
        <v>153</v>
      </c>
      <c r="K53" s="631" t="s">
        <v>368</v>
      </c>
      <c r="L53" s="632"/>
      <c r="M53" s="23"/>
      <c r="N53" s="162" t="s">
        <v>80</v>
      </c>
      <c r="O53" s="162" t="s">
        <v>81</v>
      </c>
      <c r="P53" s="162" t="s">
        <v>133</v>
      </c>
      <c r="Q53" s="162" t="s">
        <v>134</v>
      </c>
      <c r="R53" s="162" t="s">
        <v>84</v>
      </c>
      <c r="S53" s="162" t="s">
        <v>85</v>
      </c>
      <c r="T53" s="162" t="s">
        <v>86</v>
      </c>
      <c r="U53" s="162" t="s">
        <v>87</v>
      </c>
      <c r="V53" s="162" t="s">
        <v>88</v>
      </c>
      <c r="W53" s="162" t="s">
        <v>89</v>
      </c>
      <c r="X53" s="162" t="s">
        <v>90</v>
      </c>
      <c r="Y53" s="328" t="s">
        <v>91</v>
      </c>
      <c r="Z53" s="162" t="s">
        <v>370</v>
      </c>
      <c r="AC53" s="23"/>
      <c r="AD53" s="23"/>
      <c r="AE53" s="23"/>
      <c r="AF53" s="23"/>
      <c r="AL53" s="190"/>
    </row>
    <row r="54" spans="1:38" x14ac:dyDescent="0.3">
      <c r="A54" s="74" t="s">
        <v>463</v>
      </c>
      <c r="B54" s="8" t="s">
        <v>196</v>
      </c>
      <c r="C54" s="8" t="s">
        <v>460</v>
      </c>
      <c r="D54" s="19"/>
      <c r="E54" s="615"/>
      <c r="F54" s="616"/>
      <c r="G54" s="616"/>
      <c r="H54" s="617"/>
      <c r="I54" s="25"/>
      <c r="J54" s="69"/>
      <c r="K54" s="606"/>
      <c r="L54" s="608"/>
      <c r="M54" s="4"/>
      <c r="N54" s="18"/>
      <c r="O54" s="18"/>
      <c r="P54" s="18"/>
      <c r="Q54" s="18"/>
      <c r="R54" s="18"/>
      <c r="S54" s="18"/>
      <c r="T54" s="18"/>
      <c r="U54" s="18"/>
      <c r="V54" s="18"/>
      <c r="W54" s="18"/>
      <c r="X54" s="18"/>
      <c r="Y54" s="139"/>
      <c r="Z54" s="8"/>
      <c r="AC54" s="28"/>
      <c r="AD54" s="28"/>
      <c r="AE54" s="28"/>
      <c r="AF54" s="28"/>
      <c r="AL54" s="22"/>
    </row>
    <row r="55" spans="1:38" x14ac:dyDescent="0.3">
      <c r="A55" s="109" t="s">
        <v>466</v>
      </c>
      <c r="B55" s="8" t="s">
        <v>192</v>
      </c>
      <c r="C55" s="8" t="s">
        <v>460</v>
      </c>
      <c r="D55" s="19"/>
      <c r="E55" s="615"/>
      <c r="F55" s="616"/>
      <c r="G55" s="616"/>
      <c r="H55" s="617"/>
      <c r="I55" s="25"/>
      <c r="J55" s="112"/>
      <c r="K55" s="625"/>
      <c r="L55" s="625"/>
      <c r="M55" s="4"/>
      <c r="N55" s="18"/>
      <c r="O55" s="18"/>
      <c r="P55" s="18"/>
      <c r="Q55" s="18"/>
      <c r="R55" s="18"/>
      <c r="S55" s="18"/>
      <c r="T55" s="18"/>
      <c r="U55" s="18"/>
      <c r="V55" s="18"/>
      <c r="W55" s="18"/>
      <c r="X55" s="18"/>
      <c r="Y55" s="139"/>
      <c r="Z55" s="8"/>
      <c r="AC55" s="28"/>
      <c r="AD55" s="28"/>
      <c r="AE55" s="28"/>
      <c r="AF55" s="28"/>
      <c r="AL55" s="22"/>
    </row>
    <row r="56" spans="1:38" x14ac:dyDescent="0.3">
      <c r="A56" s="74" t="s">
        <v>467</v>
      </c>
      <c r="B56" s="8" t="s">
        <v>192</v>
      </c>
      <c r="C56" s="8" t="s">
        <v>460</v>
      </c>
      <c r="D56" s="19"/>
      <c r="E56" s="615"/>
      <c r="F56" s="616"/>
      <c r="G56" s="616"/>
      <c r="H56" s="617"/>
      <c r="I56" s="25"/>
      <c r="J56" s="112"/>
      <c r="K56" s="625"/>
      <c r="L56" s="625"/>
      <c r="M56" s="4"/>
      <c r="N56" s="18"/>
      <c r="O56" s="18"/>
      <c r="P56" s="18"/>
      <c r="Q56" s="18"/>
      <c r="R56" s="18"/>
      <c r="S56" s="18"/>
      <c r="T56" s="18"/>
      <c r="U56" s="18"/>
      <c r="V56" s="18"/>
      <c r="W56" s="18"/>
      <c r="X56" s="18"/>
      <c r="Y56" s="139"/>
      <c r="Z56" s="8"/>
      <c r="AC56" s="28"/>
      <c r="AD56" s="28"/>
      <c r="AE56" s="28"/>
      <c r="AF56" s="28"/>
      <c r="AL56" s="22"/>
    </row>
    <row r="57" spans="1:38" x14ac:dyDescent="0.3">
      <c r="A57" s="74" t="s">
        <v>468</v>
      </c>
      <c r="B57" s="8" t="s">
        <v>192</v>
      </c>
      <c r="C57" s="8" t="s">
        <v>459</v>
      </c>
      <c r="D57" s="19" t="s">
        <v>544</v>
      </c>
      <c r="E57" s="615" t="s">
        <v>378</v>
      </c>
      <c r="F57" s="616"/>
      <c r="G57" s="616"/>
      <c r="H57" s="617"/>
      <c r="I57" s="25"/>
      <c r="J57" s="112">
        <v>7.3</v>
      </c>
      <c r="K57" s="618" t="s">
        <v>378</v>
      </c>
      <c r="L57" s="619"/>
      <c r="M57" s="4"/>
      <c r="N57" s="18">
        <v>0.01</v>
      </c>
      <c r="O57" s="18">
        <v>0.02</v>
      </c>
      <c r="P57" s="18">
        <v>0.02</v>
      </c>
      <c r="Q57" s="18">
        <v>0.02</v>
      </c>
      <c r="R57" s="18">
        <v>0.02</v>
      </c>
      <c r="S57" s="18">
        <v>0.05</v>
      </c>
      <c r="T57" s="18">
        <v>0.08</v>
      </c>
      <c r="U57" s="18">
        <v>0.2</v>
      </c>
      <c r="V57" s="18">
        <v>0.57999999999999996</v>
      </c>
      <c r="W57" s="18"/>
      <c r="X57" s="18"/>
      <c r="Y57" s="139"/>
      <c r="Z57" s="8" t="s">
        <v>378</v>
      </c>
      <c r="AC57" s="28"/>
      <c r="AD57" s="28"/>
      <c r="AE57" s="28"/>
      <c r="AF57" s="28"/>
      <c r="AL57" s="22"/>
    </row>
    <row r="58" spans="1:38" x14ac:dyDescent="0.3">
      <c r="A58" s="74" t="s">
        <v>468</v>
      </c>
      <c r="B58" s="8" t="s">
        <v>192</v>
      </c>
      <c r="C58" s="8" t="s">
        <v>459</v>
      </c>
      <c r="D58" s="19"/>
      <c r="E58" s="615"/>
      <c r="F58" s="616"/>
      <c r="G58" s="616"/>
      <c r="H58" s="617"/>
      <c r="I58" s="25"/>
      <c r="J58" s="112">
        <v>7.5</v>
      </c>
      <c r="K58" s="618" t="s">
        <v>380</v>
      </c>
      <c r="L58" s="619"/>
      <c r="M58" s="4"/>
      <c r="N58" s="18"/>
      <c r="O58" s="18"/>
      <c r="P58" s="18"/>
      <c r="Q58" s="18"/>
      <c r="R58" s="18"/>
      <c r="S58" s="18"/>
      <c r="T58" s="18"/>
      <c r="U58" s="18"/>
      <c r="V58" s="18"/>
      <c r="W58" s="18"/>
      <c r="X58" s="18"/>
      <c r="Y58" s="139"/>
      <c r="Z58" s="8"/>
      <c r="AC58" s="28"/>
      <c r="AD58" s="28"/>
      <c r="AE58" s="28"/>
      <c r="AF58" s="28"/>
      <c r="AL58" s="22"/>
    </row>
    <row r="59" spans="1:38" x14ac:dyDescent="0.3">
      <c r="A59" s="74" t="s">
        <v>469</v>
      </c>
      <c r="B59" s="8" t="s">
        <v>196</v>
      </c>
      <c r="C59" s="8" t="s">
        <v>470</v>
      </c>
      <c r="D59" s="19"/>
      <c r="E59" s="615"/>
      <c r="F59" s="616"/>
      <c r="G59" s="616"/>
      <c r="H59" s="617"/>
      <c r="I59" s="25"/>
      <c r="J59" s="112"/>
      <c r="K59" s="625"/>
      <c r="L59" s="625"/>
      <c r="M59" s="4"/>
      <c r="N59" s="18"/>
      <c r="O59" s="18"/>
      <c r="P59" s="18"/>
      <c r="Q59" s="18"/>
      <c r="R59" s="18"/>
      <c r="S59" s="18"/>
      <c r="T59" s="18"/>
      <c r="U59" s="18"/>
      <c r="V59" s="18"/>
      <c r="W59" s="18"/>
      <c r="X59" s="18"/>
      <c r="Y59" s="139"/>
      <c r="Z59" s="8"/>
      <c r="AC59" s="28"/>
      <c r="AD59" s="28"/>
      <c r="AE59" s="28"/>
      <c r="AF59" s="28"/>
      <c r="AL59" s="22"/>
    </row>
    <row r="60" spans="1:38" x14ac:dyDescent="0.3">
      <c r="A60" s="74" t="s">
        <v>471</v>
      </c>
      <c r="B60" s="8" t="s">
        <v>196</v>
      </c>
      <c r="C60" s="8" t="s">
        <v>460</v>
      </c>
      <c r="D60" s="19"/>
      <c r="E60" s="615"/>
      <c r="F60" s="616"/>
      <c r="G60" s="616"/>
      <c r="H60" s="617"/>
      <c r="I60" s="25"/>
      <c r="J60" s="112"/>
      <c r="K60" s="625"/>
      <c r="L60" s="625"/>
      <c r="M60" s="4"/>
      <c r="N60" s="18"/>
      <c r="O60" s="18"/>
      <c r="P60" s="18"/>
      <c r="Q60" s="18"/>
      <c r="R60" s="18"/>
      <c r="S60" s="18"/>
      <c r="T60" s="18"/>
      <c r="U60" s="18"/>
      <c r="V60" s="18"/>
      <c r="W60" s="18"/>
      <c r="X60" s="18"/>
      <c r="Y60" s="139"/>
      <c r="Z60" s="8"/>
      <c r="AC60" s="28"/>
      <c r="AD60" s="28"/>
      <c r="AE60" s="28"/>
      <c r="AF60" s="28"/>
      <c r="AL60" s="22"/>
    </row>
    <row r="61" spans="1:38" x14ac:dyDescent="0.3">
      <c r="A61" s="74" t="s">
        <v>472</v>
      </c>
      <c r="B61" s="8" t="s">
        <v>214</v>
      </c>
      <c r="C61" s="8" t="s">
        <v>460</v>
      </c>
      <c r="D61" s="66"/>
      <c r="E61" s="609"/>
      <c r="F61" s="610"/>
      <c r="G61" s="610"/>
      <c r="H61" s="611"/>
      <c r="I61" s="32"/>
      <c r="J61" s="69"/>
      <c r="K61" s="606"/>
      <c r="L61" s="608"/>
      <c r="M61" s="4"/>
      <c r="N61" s="18"/>
      <c r="O61" s="18"/>
      <c r="P61" s="18"/>
      <c r="Q61" s="18"/>
      <c r="R61" s="18"/>
      <c r="S61" s="18"/>
      <c r="T61" s="18"/>
      <c r="U61" s="18"/>
      <c r="V61" s="18"/>
      <c r="W61" s="18"/>
      <c r="X61" s="18"/>
      <c r="Y61" s="139"/>
      <c r="Z61" s="8"/>
      <c r="AC61" s="28"/>
      <c r="AD61" s="28"/>
      <c r="AE61" s="28"/>
      <c r="AF61" s="28"/>
      <c r="AL61" s="22"/>
    </row>
    <row r="62" spans="1:38" x14ac:dyDescent="0.3">
      <c r="A62" s="74" t="s">
        <v>475</v>
      </c>
      <c r="B62" s="8" t="s">
        <v>196</v>
      </c>
      <c r="C62" s="8" t="s">
        <v>476</v>
      </c>
      <c r="D62" s="66"/>
      <c r="E62" s="609"/>
      <c r="F62" s="610"/>
      <c r="G62" s="610"/>
      <c r="H62" s="611"/>
      <c r="I62" s="32"/>
      <c r="J62" s="69"/>
      <c r="K62" s="606"/>
      <c r="L62" s="608"/>
      <c r="M62" s="4"/>
      <c r="N62" s="18"/>
      <c r="O62" s="18"/>
      <c r="P62" s="18"/>
      <c r="Q62" s="18"/>
      <c r="R62" s="18"/>
      <c r="S62" s="18"/>
      <c r="T62" s="18"/>
      <c r="U62" s="18"/>
      <c r="V62" s="18"/>
      <c r="W62" s="18"/>
      <c r="X62" s="18"/>
      <c r="Y62" s="139"/>
      <c r="Z62" s="8"/>
      <c r="AC62" s="28"/>
      <c r="AD62" s="28"/>
      <c r="AE62" s="28"/>
      <c r="AF62" s="28"/>
      <c r="AL62" s="22"/>
    </row>
    <row r="63" spans="1:38" x14ac:dyDescent="0.3">
      <c r="A63" s="74" t="s">
        <v>477</v>
      </c>
      <c r="B63" s="8" t="s">
        <v>192</v>
      </c>
      <c r="C63" s="8" t="s">
        <v>460</v>
      </c>
      <c r="D63" s="66"/>
      <c r="E63" s="609"/>
      <c r="F63" s="610"/>
      <c r="G63" s="610"/>
      <c r="H63" s="611"/>
      <c r="I63" s="32"/>
      <c r="J63" s="69"/>
      <c r="K63" s="606"/>
      <c r="L63" s="608"/>
      <c r="M63" s="4"/>
      <c r="N63" s="18"/>
      <c r="O63" s="18"/>
      <c r="P63" s="18"/>
      <c r="Q63" s="18"/>
      <c r="R63" s="18"/>
      <c r="S63" s="18"/>
      <c r="T63" s="18"/>
      <c r="U63" s="18"/>
      <c r="V63" s="18"/>
      <c r="W63" s="18"/>
      <c r="X63" s="18"/>
      <c r="Y63" s="139"/>
      <c r="Z63" s="8"/>
      <c r="AC63" s="28"/>
      <c r="AD63" s="28"/>
      <c r="AE63" s="28"/>
      <c r="AF63" s="28"/>
      <c r="AL63" s="22"/>
    </row>
    <row r="64" spans="1:38" x14ac:dyDescent="0.3">
      <c r="A64" s="74" t="s">
        <v>480</v>
      </c>
      <c r="B64" s="8" t="s">
        <v>192</v>
      </c>
      <c r="C64" s="8" t="s">
        <v>460</v>
      </c>
      <c r="D64" s="66"/>
      <c r="E64" s="609"/>
      <c r="F64" s="610"/>
      <c r="G64" s="610"/>
      <c r="H64" s="611"/>
      <c r="I64" s="32"/>
      <c r="J64" s="112" t="s">
        <v>545</v>
      </c>
      <c r="K64" s="618" t="s">
        <v>546</v>
      </c>
      <c r="L64" s="619"/>
      <c r="M64" s="4"/>
      <c r="N64" s="18">
        <v>0</v>
      </c>
      <c r="O64" s="18">
        <v>0.02</v>
      </c>
      <c r="P64" s="18">
        <v>0.02</v>
      </c>
      <c r="Q64" s="18">
        <v>0.04</v>
      </c>
      <c r="R64" s="18">
        <v>0.04</v>
      </c>
      <c r="S64" s="18">
        <v>0.09</v>
      </c>
      <c r="T64" s="18">
        <v>0.09</v>
      </c>
      <c r="U64" s="18">
        <v>0.1</v>
      </c>
      <c r="V64" s="18">
        <v>0.1</v>
      </c>
      <c r="W64" s="18">
        <v>0.16</v>
      </c>
      <c r="X64" s="18">
        <v>0.1</v>
      </c>
      <c r="Y64" s="18">
        <v>0.24</v>
      </c>
      <c r="Z64" s="8" t="s">
        <v>446</v>
      </c>
      <c r="AC64" s="28"/>
      <c r="AD64" s="28"/>
      <c r="AE64" s="28"/>
      <c r="AF64" s="28"/>
      <c r="AL64" s="22"/>
    </row>
    <row r="65" spans="1:38" x14ac:dyDescent="0.3">
      <c r="A65" s="74" t="s">
        <v>480</v>
      </c>
      <c r="B65" s="8" t="s">
        <v>192</v>
      </c>
      <c r="C65" s="8" t="s">
        <v>460</v>
      </c>
      <c r="D65" s="66"/>
      <c r="E65" s="609"/>
      <c r="F65" s="610"/>
      <c r="G65" s="610"/>
      <c r="H65" s="611"/>
      <c r="I65" s="32"/>
      <c r="J65" s="112" t="s">
        <v>547</v>
      </c>
      <c r="K65" s="618" t="s">
        <v>548</v>
      </c>
      <c r="L65" s="619"/>
      <c r="M65" s="4"/>
      <c r="N65" s="18">
        <v>0.01</v>
      </c>
      <c r="O65" s="18">
        <v>0.02</v>
      </c>
      <c r="P65" s="18">
        <v>0.02</v>
      </c>
      <c r="Q65" s="18">
        <v>0.02</v>
      </c>
      <c r="R65" s="18">
        <v>0.04</v>
      </c>
      <c r="S65" s="18">
        <v>0.04</v>
      </c>
      <c r="T65" s="18">
        <v>0.08</v>
      </c>
      <c r="U65" s="18">
        <v>0.15</v>
      </c>
      <c r="V65" s="18">
        <v>0.62</v>
      </c>
      <c r="W65" s="18">
        <v>0</v>
      </c>
      <c r="X65" s="18">
        <v>0</v>
      </c>
      <c r="Y65" s="139">
        <v>0</v>
      </c>
      <c r="Z65" s="8" t="s">
        <v>378</v>
      </c>
      <c r="AC65" s="28"/>
      <c r="AD65" s="28"/>
      <c r="AE65" s="28"/>
      <c r="AF65" s="28"/>
      <c r="AL65" s="22"/>
    </row>
    <row r="66" spans="1:38" x14ac:dyDescent="0.3">
      <c r="A66" s="74" t="s">
        <v>480</v>
      </c>
      <c r="B66" s="8" t="s">
        <v>192</v>
      </c>
      <c r="C66" s="8" t="s">
        <v>460</v>
      </c>
      <c r="D66" s="66"/>
      <c r="E66" s="609"/>
      <c r="F66" s="610"/>
      <c r="G66" s="610"/>
      <c r="H66" s="611"/>
      <c r="I66" s="32"/>
      <c r="J66" s="112" t="s">
        <v>549</v>
      </c>
      <c r="K66" s="618" t="s">
        <v>550</v>
      </c>
      <c r="L66" s="619"/>
      <c r="M66" s="4"/>
      <c r="N66" s="18"/>
      <c r="O66" s="18"/>
      <c r="P66" s="18"/>
      <c r="Q66" s="18"/>
      <c r="R66" s="18"/>
      <c r="S66" s="18"/>
      <c r="T66" s="18"/>
      <c r="U66" s="18"/>
      <c r="V66" s="18"/>
      <c r="W66" s="18"/>
      <c r="X66" s="18"/>
      <c r="Y66" s="139"/>
      <c r="Z66" s="8"/>
      <c r="AC66" s="28"/>
      <c r="AD66" s="28"/>
      <c r="AE66" s="28"/>
      <c r="AF66" s="28"/>
      <c r="AL66" s="22"/>
    </row>
    <row r="67" spans="1:38" x14ac:dyDescent="0.3">
      <c r="A67" s="74" t="s">
        <v>480</v>
      </c>
      <c r="B67" s="8" t="s">
        <v>192</v>
      </c>
      <c r="C67" s="8" t="s">
        <v>460</v>
      </c>
      <c r="D67" s="12" t="s">
        <v>551</v>
      </c>
      <c r="E67" s="615" t="s">
        <v>378</v>
      </c>
      <c r="F67" s="616"/>
      <c r="G67" s="616"/>
      <c r="H67" s="617"/>
      <c r="I67" s="32"/>
      <c r="J67" s="112">
        <v>7.8</v>
      </c>
      <c r="K67" s="618" t="s">
        <v>378</v>
      </c>
      <c r="L67" s="619"/>
      <c r="M67" s="4"/>
      <c r="N67" s="18"/>
      <c r="O67" s="18"/>
      <c r="P67" s="18"/>
      <c r="Q67" s="18"/>
      <c r="R67" s="18"/>
      <c r="S67" s="18"/>
      <c r="T67" s="18"/>
      <c r="U67" s="18"/>
      <c r="V67" s="18"/>
      <c r="W67" s="18"/>
      <c r="X67" s="18"/>
      <c r="Y67" s="139"/>
      <c r="Z67" s="8"/>
      <c r="AC67" s="28"/>
      <c r="AD67" s="28"/>
      <c r="AE67" s="28"/>
      <c r="AF67" s="28"/>
      <c r="AL67" s="22"/>
    </row>
    <row r="68" spans="1:38" x14ac:dyDescent="0.3">
      <c r="A68" s="74" t="s">
        <v>480</v>
      </c>
      <c r="B68" s="8" t="s">
        <v>192</v>
      </c>
      <c r="C68" s="8" t="s">
        <v>460</v>
      </c>
      <c r="D68" s="66"/>
      <c r="E68" s="609"/>
      <c r="F68" s="610"/>
      <c r="G68" s="610"/>
      <c r="H68" s="611"/>
      <c r="I68" s="32"/>
      <c r="J68" s="112">
        <v>8.4</v>
      </c>
      <c r="K68" s="618" t="s">
        <v>378</v>
      </c>
      <c r="L68" s="619"/>
      <c r="M68" s="4"/>
      <c r="N68" s="18"/>
      <c r="O68" s="18"/>
      <c r="P68" s="18"/>
      <c r="Q68" s="18"/>
      <c r="R68" s="18"/>
      <c r="S68" s="18"/>
      <c r="T68" s="18"/>
      <c r="U68" s="18"/>
      <c r="V68" s="18"/>
      <c r="W68" s="18"/>
      <c r="X68" s="18"/>
      <c r="Y68" s="139"/>
      <c r="Z68" s="8"/>
      <c r="AC68" s="28"/>
      <c r="AD68" s="28"/>
      <c r="AE68" s="28"/>
      <c r="AF68" s="28"/>
      <c r="AL68" s="22"/>
    </row>
    <row r="69" spans="1:38" x14ac:dyDescent="0.3">
      <c r="A69" s="74" t="s">
        <v>481</v>
      </c>
      <c r="B69" s="8" t="s">
        <v>482</v>
      </c>
      <c r="C69" s="8" t="s">
        <v>483</v>
      </c>
      <c r="D69" s="66"/>
      <c r="E69" s="609"/>
      <c r="F69" s="610"/>
      <c r="G69" s="610"/>
      <c r="H69" s="611"/>
      <c r="I69" s="32"/>
      <c r="J69" s="69"/>
      <c r="K69" s="606"/>
      <c r="L69" s="608"/>
      <c r="M69" s="4"/>
      <c r="N69" s="18"/>
      <c r="O69" s="18"/>
      <c r="P69" s="18"/>
      <c r="Q69" s="18"/>
      <c r="R69" s="18"/>
      <c r="S69" s="18"/>
      <c r="T69" s="18"/>
      <c r="U69" s="18"/>
      <c r="V69" s="18"/>
      <c r="W69" s="18"/>
      <c r="X69" s="18"/>
      <c r="Y69" s="139"/>
      <c r="Z69" s="8"/>
      <c r="AC69" s="28"/>
      <c r="AD69" s="28"/>
      <c r="AE69" s="28"/>
      <c r="AF69" s="28"/>
      <c r="AL69" s="22"/>
    </row>
    <row r="70" spans="1:38" x14ac:dyDescent="0.3">
      <c r="A70" s="74" t="s">
        <v>486</v>
      </c>
      <c r="B70" s="8" t="s">
        <v>178</v>
      </c>
      <c r="C70" s="8" t="s">
        <v>460</v>
      </c>
      <c r="D70" s="66"/>
      <c r="E70" s="609"/>
      <c r="F70" s="610"/>
      <c r="G70" s="610"/>
      <c r="H70" s="611"/>
      <c r="I70" s="32"/>
      <c r="J70" s="69"/>
      <c r="K70" s="606"/>
      <c r="L70" s="608"/>
      <c r="M70" s="4"/>
      <c r="N70" s="18"/>
      <c r="O70" s="18"/>
      <c r="P70" s="18"/>
      <c r="Q70" s="18"/>
      <c r="R70" s="18"/>
      <c r="S70" s="18"/>
      <c r="T70" s="18"/>
      <c r="U70" s="18"/>
      <c r="V70" s="18"/>
      <c r="W70" s="18"/>
      <c r="X70" s="18"/>
      <c r="Y70" s="139"/>
      <c r="Z70" s="8"/>
      <c r="AC70" s="28"/>
      <c r="AD70" s="28"/>
      <c r="AE70" s="28"/>
      <c r="AF70" s="28"/>
      <c r="AL70" s="22"/>
    </row>
    <row r="71" spans="1:38" x14ac:dyDescent="0.3">
      <c r="A71" s="74" t="s">
        <v>488</v>
      </c>
      <c r="B71" s="8" t="s">
        <v>214</v>
      </c>
      <c r="C71" s="8" t="s">
        <v>470</v>
      </c>
      <c r="D71" s="34"/>
      <c r="E71" s="606"/>
      <c r="F71" s="607"/>
      <c r="G71" s="607"/>
      <c r="H71" s="608"/>
      <c r="I71" s="32"/>
      <c r="J71" s="69"/>
      <c r="K71" s="606"/>
      <c r="L71" s="608"/>
      <c r="M71" s="4"/>
      <c r="N71" s="18"/>
      <c r="O71" s="18"/>
      <c r="P71" s="18"/>
      <c r="Q71" s="18"/>
      <c r="R71" s="18"/>
      <c r="S71" s="18"/>
      <c r="T71" s="18"/>
      <c r="U71" s="18"/>
      <c r="V71" s="18"/>
      <c r="W71" s="18"/>
      <c r="X71" s="18"/>
      <c r="Y71" s="139"/>
      <c r="Z71" s="68"/>
      <c r="AC71" s="28"/>
      <c r="AD71" s="28"/>
      <c r="AE71" s="28"/>
      <c r="AF71" s="28"/>
      <c r="AL71" s="22"/>
    </row>
    <row r="72" spans="1:38" x14ac:dyDescent="0.3">
      <c r="A72" s="74" t="s">
        <v>491</v>
      </c>
      <c r="B72" s="8" t="s">
        <v>196</v>
      </c>
      <c r="C72" s="8" t="s">
        <v>460</v>
      </c>
      <c r="D72" s="66"/>
      <c r="E72" s="609"/>
      <c r="F72" s="610"/>
      <c r="G72" s="610"/>
      <c r="H72" s="611"/>
      <c r="I72" s="32"/>
      <c r="J72" s="69"/>
      <c r="K72" s="618"/>
      <c r="L72" s="619"/>
      <c r="M72" s="4"/>
      <c r="N72" s="18"/>
      <c r="O72" s="18"/>
      <c r="P72" s="18"/>
      <c r="Q72" s="18"/>
      <c r="R72" s="18"/>
      <c r="S72" s="18"/>
      <c r="T72" s="18"/>
      <c r="U72" s="18"/>
      <c r="V72" s="18"/>
      <c r="W72" s="18"/>
      <c r="X72" s="18"/>
      <c r="Y72" s="139"/>
      <c r="Z72" s="8"/>
      <c r="AC72" s="28"/>
      <c r="AD72" s="28"/>
      <c r="AE72" s="28"/>
      <c r="AF72" s="28"/>
      <c r="AL72" s="22"/>
    </row>
    <row r="73" spans="1:38" x14ac:dyDescent="0.3">
      <c r="A73" s="74" t="s">
        <v>492</v>
      </c>
      <c r="B73" s="8" t="s">
        <v>493</v>
      </c>
      <c r="C73" s="8" t="s">
        <v>483</v>
      </c>
      <c r="D73" s="66"/>
      <c r="E73" s="609"/>
      <c r="F73" s="610"/>
      <c r="G73" s="610"/>
      <c r="H73" s="611"/>
      <c r="I73" s="32"/>
      <c r="J73" s="69"/>
      <c r="K73" s="606"/>
      <c r="L73" s="608"/>
      <c r="M73" s="4"/>
      <c r="N73" s="18"/>
      <c r="O73" s="18"/>
      <c r="P73" s="18"/>
      <c r="Q73" s="18"/>
      <c r="R73" s="18"/>
      <c r="S73" s="18"/>
      <c r="T73" s="18"/>
      <c r="U73" s="18"/>
      <c r="V73" s="18"/>
      <c r="W73" s="18"/>
      <c r="X73" s="18"/>
      <c r="Y73" s="139"/>
      <c r="Z73" s="8"/>
      <c r="AC73" s="28"/>
      <c r="AD73" s="28"/>
      <c r="AE73" s="28"/>
      <c r="AF73" s="28"/>
      <c r="AL73" s="22"/>
    </row>
    <row r="74" spans="1:38" x14ac:dyDescent="0.3">
      <c r="A74" s="74" t="s">
        <v>496</v>
      </c>
      <c r="B74" s="8" t="s">
        <v>214</v>
      </c>
      <c r="C74" s="8" t="s">
        <v>497</v>
      </c>
      <c r="D74" s="66"/>
      <c r="E74" s="609"/>
      <c r="F74" s="610"/>
      <c r="G74" s="610"/>
      <c r="H74" s="611"/>
      <c r="I74" s="32"/>
      <c r="J74" s="69"/>
      <c r="K74" s="606"/>
      <c r="L74" s="608"/>
      <c r="M74" s="4"/>
      <c r="N74" s="18"/>
      <c r="O74" s="18"/>
      <c r="P74" s="18"/>
      <c r="Q74" s="18"/>
      <c r="R74" s="18"/>
      <c r="S74" s="18"/>
      <c r="T74" s="18"/>
      <c r="U74" s="18"/>
      <c r="V74" s="18"/>
      <c r="W74" s="18"/>
      <c r="X74" s="18"/>
      <c r="Y74" s="139"/>
      <c r="Z74" s="8"/>
      <c r="AC74" s="28"/>
      <c r="AD74" s="28"/>
      <c r="AE74" s="28"/>
      <c r="AF74" s="28"/>
      <c r="AL74" s="22"/>
    </row>
    <row r="75" spans="1:38" x14ac:dyDescent="0.3">
      <c r="A75" s="74" t="s">
        <v>498</v>
      </c>
      <c r="B75" s="8" t="s">
        <v>196</v>
      </c>
      <c r="C75" s="8"/>
      <c r="D75" s="66"/>
      <c r="E75" s="609"/>
      <c r="F75" s="610"/>
      <c r="G75" s="610"/>
      <c r="H75" s="611"/>
      <c r="I75" s="32"/>
      <c r="J75" s="69"/>
      <c r="K75" s="606"/>
      <c r="L75" s="608"/>
      <c r="M75" s="4"/>
      <c r="N75" s="18"/>
      <c r="O75" s="18"/>
      <c r="P75" s="18"/>
      <c r="Q75" s="18"/>
      <c r="R75" s="18"/>
      <c r="S75" s="18"/>
      <c r="T75" s="18"/>
      <c r="U75" s="18"/>
      <c r="V75" s="18"/>
      <c r="W75" s="18"/>
      <c r="X75" s="18"/>
      <c r="Y75" s="139"/>
      <c r="Z75" s="8"/>
      <c r="AC75" s="28"/>
      <c r="AD75" s="28"/>
      <c r="AE75" s="28"/>
      <c r="AF75" s="28"/>
      <c r="AL75" s="22"/>
    </row>
    <row r="76" spans="1:38" x14ac:dyDescent="0.3">
      <c r="A76" s="74" t="s">
        <v>501</v>
      </c>
      <c r="B76" s="8" t="s">
        <v>502</v>
      </c>
      <c r="C76" s="8" t="s">
        <v>483</v>
      </c>
      <c r="D76" s="34"/>
      <c r="E76" s="609"/>
      <c r="F76" s="610"/>
      <c r="G76" s="610"/>
      <c r="H76" s="611"/>
      <c r="I76" s="27"/>
      <c r="J76" s="34"/>
      <c r="K76" s="606"/>
      <c r="L76" s="608"/>
      <c r="M76" s="72"/>
      <c r="N76" s="18"/>
      <c r="O76" s="18"/>
      <c r="P76" s="18"/>
      <c r="Q76" s="18"/>
      <c r="R76" s="18"/>
      <c r="S76" s="18"/>
      <c r="T76" s="13"/>
      <c r="U76" s="13"/>
      <c r="V76" s="13"/>
      <c r="W76" s="18"/>
      <c r="X76" s="18"/>
      <c r="Y76" s="18"/>
      <c r="Z76" s="39"/>
      <c r="AF76" s="22"/>
    </row>
    <row r="77" spans="1:38" x14ac:dyDescent="0.3">
      <c r="A77" s="74" t="s">
        <v>504</v>
      </c>
      <c r="B77" s="8" t="s">
        <v>505</v>
      </c>
      <c r="C77" s="8" t="s">
        <v>483</v>
      </c>
      <c r="D77" s="34"/>
      <c r="E77" s="609"/>
      <c r="F77" s="610"/>
      <c r="G77" s="610"/>
      <c r="H77" s="611"/>
      <c r="I77" s="27"/>
      <c r="J77" s="34"/>
      <c r="K77" s="606"/>
      <c r="L77" s="608"/>
      <c r="M77" s="25"/>
      <c r="N77" s="18"/>
      <c r="O77" s="18"/>
      <c r="P77" s="18"/>
      <c r="Q77" s="18"/>
      <c r="R77" s="18"/>
      <c r="S77" s="18"/>
      <c r="T77" s="13"/>
      <c r="U77" s="13"/>
      <c r="V77" s="13"/>
      <c r="W77" s="18"/>
      <c r="X77" s="18"/>
      <c r="Y77" s="18"/>
      <c r="Z77" s="39"/>
      <c r="AF77" s="22"/>
    </row>
    <row r="78" spans="1:38" x14ac:dyDescent="0.3">
      <c r="A78" s="74" t="s">
        <v>506</v>
      </c>
      <c r="B78" s="8" t="s">
        <v>196</v>
      </c>
      <c r="C78" s="8" t="s">
        <v>460</v>
      </c>
      <c r="D78" s="34"/>
      <c r="E78" s="609"/>
      <c r="F78" s="610"/>
      <c r="G78" s="610"/>
      <c r="H78" s="611"/>
      <c r="I78" s="27"/>
      <c r="J78" s="34"/>
      <c r="K78" s="606"/>
      <c r="L78" s="608"/>
      <c r="M78" s="25"/>
      <c r="N78" s="18"/>
      <c r="O78" s="18"/>
      <c r="P78" s="18"/>
      <c r="Q78" s="18"/>
      <c r="R78" s="18"/>
      <c r="S78" s="18"/>
      <c r="T78" s="13"/>
      <c r="U78" s="13"/>
      <c r="V78" s="13"/>
      <c r="W78" s="18"/>
      <c r="X78" s="18"/>
      <c r="Y78" s="18"/>
      <c r="Z78" s="39"/>
      <c r="AF78" s="22"/>
    </row>
    <row r="79" spans="1:38" x14ac:dyDescent="0.3">
      <c r="A79" s="74" t="s">
        <v>507</v>
      </c>
      <c r="B79" s="8" t="s">
        <v>196</v>
      </c>
      <c r="C79" s="8" t="s">
        <v>460</v>
      </c>
      <c r="D79" s="66"/>
      <c r="E79" s="609"/>
      <c r="F79" s="610"/>
      <c r="G79" s="610"/>
      <c r="H79" s="611"/>
      <c r="I79" s="4"/>
      <c r="J79" s="34"/>
      <c r="K79" s="606"/>
      <c r="L79" s="608"/>
      <c r="M79" s="25"/>
      <c r="N79" s="18"/>
      <c r="O79" s="18"/>
      <c r="P79" s="18"/>
      <c r="Q79" s="18"/>
      <c r="R79" s="18"/>
      <c r="S79" s="18"/>
      <c r="T79" s="13"/>
      <c r="U79" s="13"/>
      <c r="V79" s="13"/>
      <c r="W79" s="18"/>
      <c r="X79" s="18"/>
      <c r="Y79" s="18"/>
      <c r="Z79" s="39"/>
      <c r="AF79" s="22"/>
    </row>
    <row r="80" spans="1:38" x14ac:dyDescent="0.3">
      <c r="A80" s="74" t="s">
        <v>508</v>
      </c>
      <c r="B80" s="8" t="s">
        <v>196</v>
      </c>
      <c r="C80" s="8" t="s">
        <v>497</v>
      </c>
      <c r="D80" s="34"/>
      <c r="E80" s="609"/>
      <c r="F80" s="610"/>
      <c r="G80" s="610"/>
      <c r="H80" s="611"/>
      <c r="I80" s="32"/>
      <c r="J80" s="34"/>
      <c r="K80" s="606"/>
      <c r="L80" s="608"/>
      <c r="M80" s="25"/>
      <c r="N80" s="18"/>
      <c r="O80" s="18"/>
      <c r="P80" s="18"/>
      <c r="Q80" s="18"/>
      <c r="R80" s="18"/>
      <c r="S80" s="18"/>
      <c r="T80" s="13"/>
      <c r="U80" s="13"/>
      <c r="V80" s="13"/>
      <c r="W80" s="18"/>
      <c r="X80" s="18"/>
      <c r="Y80" s="18"/>
      <c r="Z80" s="39"/>
      <c r="AF80" s="22"/>
    </row>
    <row r="81" spans="1:42" x14ac:dyDescent="0.3">
      <c r="A81" s="74" t="s">
        <v>509</v>
      </c>
      <c r="B81" s="8" t="s">
        <v>192</v>
      </c>
      <c r="C81" s="8" t="s">
        <v>510</v>
      </c>
      <c r="D81" s="8"/>
      <c r="E81" s="609"/>
      <c r="F81" s="610"/>
      <c r="G81" s="610"/>
      <c r="H81" s="611"/>
      <c r="J81" s="34"/>
      <c r="K81" s="606"/>
      <c r="L81" s="608"/>
      <c r="M81" s="25"/>
      <c r="N81" s="18"/>
      <c r="O81" s="18"/>
      <c r="P81" s="18"/>
      <c r="Q81" s="18"/>
      <c r="R81" s="18"/>
      <c r="S81" s="18"/>
      <c r="T81" s="13"/>
      <c r="U81" s="13"/>
      <c r="V81" s="13"/>
      <c r="W81" s="18"/>
      <c r="X81" s="18"/>
      <c r="Y81" s="18"/>
      <c r="Z81" s="39"/>
      <c r="AF81" s="22"/>
    </row>
    <row r="82" spans="1:42" s="28" customFormat="1" x14ac:dyDescent="0.3">
      <c r="A82" s="74" t="s">
        <v>511</v>
      </c>
      <c r="B82" s="8" t="s">
        <v>214</v>
      </c>
      <c r="C82" s="8" t="s">
        <v>460</v>
      </c>
      <c r="D82" s="8"/>
      <c r="E82" s="609"/>
      <c r="F82" s="610"/>
      <c r="G82" s="610"/>
      <c r="H82" s="611"/>
      <c r="I82" s="3"/>
      <c r="J82" s="34"/>
      <c r="K82" s="606"/>
      <c r="L82" s="608"/>
      <c r="M82" s="25"/>
      <c r="N82" s="18"/>
      <c r="O82" s="18"/>
      <c r="P82" s="18"/>
      <c r="Q82" s="18"/>
      <c r="R82" s="18"/>
      <c r="S82" s="18"/>
      <c r="T82" s="13"/>
      <c r="U82" s="13"/>
      <c r="V82" s="13"/>
      <c r="W82" s="18"/>
      <c r="X82" s="18"/>
      <c r="Y82" s="18"/>
      <c r="Z82" s="39"/>
      <c r="AA82" s="3"/>
      <c r="AB82" s="3"/>
      <c r="AC82" s="3"/>
      <c r="AD82" s="3"/>
      <c r="AE82" s="3"/>
      <c r="AF82" s="22"/>
      <c r="AG82" s="3"/>
      <c r="AH82" s="3"/>
      <c r="AI82" s="3"/>
      <c r="AJ82" s="3"/>
      <c r="AK82" s="3"/>
      <c r="AL82" s="3"/>
      <c r="AM82" s="3"/>
      <c r="AN82" s="3"/>
      <c r="AO82" s="3"/>
      <c r="AP82" s="3"/>
    </row>
    <row r="83" spans="1:42" s="28" customFormat="1" x14ac:dyDescent="0.3">
      <c r="A83" s="74" t="s">
        <v>514</v>
      </c>
      <c r="B83" s="8" t="s">
        <v>214</v>
      </c>
      <c r="C83" s="8" t="s">
        <v>483</v>
      </c>
      <c r="D83" s="8"/>
      <c r="E83" s="609"/>
      <c r="F83" s="610"/>
      <c r="G83" s="610"/>
      <c r="H83" s="611"/>
      <c r="I83" s="3"/>
      <c r="J83" s="34"/>
      <c r="K83" s="606"/>
      <c r="L83" s="608"/>
      <c r="M83" s="25"/>
      <c r="N83" s="18"/>
      <c r="O83" s="18"/>
      <c r="P83" s="18"/>
      <c r="Q83" s="18"/>
      <c r="R83" s="18"/>
      <c r="S83" s="18"/>
      <c r="T83" s="13"/>
      <c r="U83" s="13"/>
      <c r="V83" s="13"/>
      <c r="W83" s="18"/>
      <c r="X83" s="18"/>
      <c r="Y83" s="18"/>
      <c r="Z83" s="39"/>
      <c r="AA83" s="3"/>
      <c r="AB83" s="3"/>
      <c r="AC83" s="3"/>
      <c r="AD83" s="3"/>
      <c r="AE83" s="3"/>
      <c r="AF83" s="22"/>
      <c r="AG83" s="3"/>
      <c r="AH83" s="3"/>
      <c r="AI83" s="3"/>
      <c r="AJ83" s="3"/>
      <c r="AK83" s="3"/>
      <c r="AL83" s="3"/>
      <c r="AM83" s="3"/>
      <c r="AN83" s="3"/>
      <c r="AO83" s="3"/>
      <c r="AP83" s="3"/>
    </row>
    <row r="84" spans="1:42" s="28" customFormat="1" x14ac:dyDescent="0.3">
      <c r="A84" s="74" t="s">
        <v>517</v>
      </c>
      <c r="B84" s="8" t="s">
        <v>482</v>
      </c>
      <c r="C84" s="8" t="s">
        <v>460</v>
      </c>
      <c r="D84" s="34"/>
      <c r="E84" s="609"/>
      <c r="F84" s="610"/>
      <c r="G84" s="610"/>
      <c r="H84" s="611"/>
      <c r="I84" s="30"/>
      <c r="J84" s="34"/>
      <c r="K84" s="606"/>
      <c r="L84" s="608"/>
      <c r="M84" s="25"/>
      <c r="N84" s="18"/>
      <c r="O84" s="18"/>
      <c r="P84" s="18"/>
      <c r="Q84" s="18"/>
      <c r="R84" s="18"/>
      <c r="S84" s="18"/>
      <c r="T84" s="13"/>
      <c r="U84" s="13"/>
      <c r="V84" s="13"/>
      <c r="W84" s="18"/>
      <c r="X84" s="18"/>
      <c r="Y84" s="18"/>
      <c r="Z84" s="39"/>
      <c r="AA84" s="3"/>
      <c r="AB84" s="3"/>
      <c r="AC84" s="3"/>
      <c r="AD84" s="3"/>
      <c r="AE84" s="3"/>
      <c r="AF84" s="22"/>
      <c r="AG84" s="3"/>
      <c r="AH84" s="3"/>
      <c r="AI84" s="3"/>
      <c r="AJ84" s="3"/>
      <c r="AK84" s="3"/>
      <c r="AL84" s="3"/>
      <c r="AM84" s="3"/>
      <c r="AN84" s="3"/>
      <c r="AO84" s="3"/>
      <c r="AP84" s="3"/>
    </row>
    <row r="85" spans="1:42" s="28" customFormat="1" x14ac:dyDescent="0.3">
      <c r="A85" s="74" t="s">
        <v>518</v>
      </c>
      <c r="B85" s="8" t="s">
        <v>482</v>
      </c>
      <c r="C85" s="8" t="s">
        <v>483</v>
      </c>
      <c r="D85" s="34"/>
      <c r="E85" s="609"/>
      <c r="F85" s="610"/>
      <c r="G85" s="610"/>
      <c r="H85" s="611"/>
      <c r="I85" s="30"/>
      <c r="J85" s="34"/>
      <c r="K85" s="606"/>
      <c r="L85" s="608"/>
      <c r="M85" s="25"/>
      <c r="N85" s="18"/>
      <c r="O85" s="18"/>
      <c r="P85" s="18"/>
      <c r="Q85" s="18"/>
      <c r="R85" s="18"/>
      <c r="S85" s="18"/>
      <c r="T85" s="13"/>
      <c r="U85" s="13"/>
      <c r="V85" s="13"/>
      <c r="W85" s="18"/>
      <c r="X85" s="18"/>
      <c r="Y85" s="18"/>
      <c r="Z85" s="39"/>
      <c r="AA85" s="3"/>
      <c r="AB85" s="3"/>
      <c r="AC85" s="3"/>
      <c r="AD85" s="3"/>
      <c r="AE85" s="3"/>
      <c r="AF85" s="22"/>
      <c r="AG85" s="3"/>
      <c r="AH85" s="3"/>
      <c r="AI85" s="3"/>
      <c r="AJ85" s="3"/>
      <c r="AK85" s="3"/>
      <c r="AL85" s="3"/>
      <c r="AM85" s="3"/>
      <c r="AN85" s="3"/>
      <c r="AO85" s="3"/>
      <c r="AP85" s="3"/>
    </row>
    <row r="86" spans="1:42" s="28" customFormat="1" x14ac:dyDescent="0.3">
      <c r="A86" s="74" t="s">
        <v>521</v>
      </c>
      <c r="B86" s="8" t="s">
        <v>482</v>
      </c>
      <c r="C86" s="8" t="s">
        <v>483</v>
      </c>
      <c r="D86" s="34"/>
      <c r="E86" s="609"/>
      <c r="F86" s="610"/>
      <c r="G86" s="610"/>
      <c r="H86" s="611"/>
      <c r="I86" s="27"/>
      <c r="J86" s="34"/>
      <c r="K86" s="606"/>
      <c r="L86" s="608"/>
      <c r="M86" s="25"/>
      <c r="N86" s="18"/>
      <c r="O86" s="18"/>
      <c r="P86" s="18"/>
      <c r="Q86" s="18"/>
      <c r="R86" s="18"/>
      <c r="S86" s="18"/>
      <c r="T86" s="13"/>
      <c r="U86" s="13"/>
      <c r="V86" s="13"/>
      <c r="W86" s="18"/>
      <c r="X86" s="18"/>
      <c r="Y86" s="18"/>
      <c r="Z86" s="39"/>
      <c r="AA86" s="3"/>
      <c r="AB86" s="3"/>
      <c r="AC86" s="3"/>
      <c r="AD86" s="3"/>
      <c r="AE86" s="3"/>
      <c r="AF86" s="22"/>
      <c r="AG86" s="3"/>
      <c r="AH86" s="3"/>
      <c r="AI86" s="3"/>
      <c r="AJ86" s="3"/>
      <c r="AK86" s="3"/>
      <c r="AL86" s="3"/>
      <c r="AM86" s="3"/>
      <c r="AN86" s="3"/>
      <c r="AO86" s="3"/>
      <c r="AP86" s="3"/>
    </row>
    <row r="87" spans="1:42" s="28" customFormat="1" x14ac:dyDescent="0.3">
      <c r="A87" s="74" t="s">
        <v>523</v>
      </c>
      <c r="B87" s="8" t="s">
        <v>192</v>
      </c>
      <c r="C87" s="8" t="s">
        <v>460</v>
      </c>
      <c r="D87" s="34"/>
      <c r="E87" s="609"/>
      <c r="F87" s="610"/>
      <c r="G87" s="610"/>
      <c r="H87" s="611"/>
      <c r="I87" s="27"/>
      <c r="J87" s="34"/>
      <c r="K87" s="606"/>
      <c r="L87" s="608"/>
      <c r="M87" s="25"/>
      <c r="N87" s="18"/>
      <c r="O87" s="18"/>
      <c r="P87" s="18"/>
      <c r="Q87" s="18"/>
      <c r="R87" s="18"/>
      <c r="S87" s="18"/>
      <c r="T87" s="13"/>
      <c r="U87" s="13"/>
      <c r="V87" s="13"/>
      <c r="W87" s="18"/>
      <c r="X87" s="18"/>
      <c r="Y87" s="18"/>
      <c r="Z87" s="39"/>
      <c r="AA87" s="3"/>
      <c r="AB87" s="3"/>
      <c r="AC87" s="3"/>
      <c r="AD87" s="3"/>
      <c r="AE87" s="3"/>
      <c r="AF87" s="22"/>
      <c r="AG87" s="3"/>
      <c r="AH87" s="3"/>
      <c r="AI87" s="3"/>
      <c r="AJ87" s="3"/>
      <c r="AK87" s="3"/>
      <c r="AL87" s="3"/>
      <c r="AM87" s="3"/>
      <c r="AN87" s="3"/>
      <c r="AO87" s="3"/>
      <c r="AP87" s="3"/>
    </row>
    <row r="88" spans="1:42" s="28" customFormat="1" x14ac:dyDescent="0.3">
      <c r="A88" s="74" t="s">
        <v>524</v>
      </c>
      <c r="B88" s="8" t="s">
        <v>196</v>
      </c>
      <c r="C88" s="8"/>
      <c r="D88" s="34"/>
      <c r="E88" s="609"/>
      <c r="F88" s="610"/>
      <c r="G88" s="610"/>
      <c r="H88" s="611"/>
      <c r="I88" s="27"/>
      <c r="J88" s="34"/>
      <c r="K88" s="606"/>
      <c r="L88" s="608"/>
      <c r="M88" s="25"/>
      <c r="N88" s="18"/>
      <c r="O88" s="18"/>
      <c r="P88" s="18"/>
      <c r="Q88" s="18"/>
      <c r="R88" s="18"/>
      <c r="S88" s="18"/>
      <c r="T88" s="13"/>
      <c r="U88" s="13"/>
      <c r="V88" s="13"/>
      <c r="W88" s="18"/>
      <c r="X88" s="18"/>
      <c r="Y88" s="18"/>
      <c r="Z88" s="39"/>
      <c r="AA88" s="3"/>
      <c r="AB88" s="3"/>
      <c r="AC88" s="3"/>
      <c r="AD88" s="3"/>
      <c r="AE88" s="3"/>
      <c r="AF88" s="22"/>
      <c r="AG88" s="3"/>
      <c r="AH88" s="3"/>
      <c r="AI88" s="3"/>
      <c r="AJ88" s="3"/>
      <c r="AK88" s="3"/>
      <c r="AL88" s="3"/>
      <c r="AM88" s="3"/>
      <c r="AN88" s="3"/>
      <c r="AO88" s="3"/>
      <c r="AP88" s="3"/>
    </row>
    <row r="89" spans="1:42" s="28" customFormat="1" x14ac:dyDescent="0.3">
      <c r="A89" s="74" t="s">
        <v>525</v>
      </c>
      <c r="B89" s="8" t="s">
        <v>482</v>
      </c>
      <c r="C89" s="8" t="s">
        <v>483</v>
      </c>
      <c r="D89" s="34"/>
      <c r="E89" s="609"/>
      <c r="F89" s="610"/>
      <c r="G89" s="610"/>
      <c r="H89" s="611"/>
      <c r="I89" s="27"/>
      <c r="J89" s="34"/>
      <c r="K89" s="606"/>
      <c r="L89" s="608"/>
      <c r="M89" s="25"/>
      <c r="N89" s="18"/>
      <c r="O89" s="18"/>
      <c r="P89" s="18"/>
      <c r="Q89" s="18"/>
      <c r="R89" s="18"/>
      <c r="S89" s="18"/>
      <c r="T89" s="13"/>
      <c r="U89" s="13"/>
      <c r="V89" s="13"/>
      <c r="W89" s="18"/>
      <c r="X89" s="18"/>
      <c r="Y89" s="18"/>
      <c r="Z89" s="39"/>
      <c r="AA89" s="3"/>
      <c r="AB89" s="3"/>
      <c r="AC89" s="3"/>
      <c r="AD89" s="3"/>
      <c r="AE89" s="3"/>
      <c r="AF89" s="22"/>
      <c r="AG89" s="3"/>
      <c r="AH89" s="3"/>
      <c r="AI89" s="3"/>
      <c r="AJ89" s="3"/>
      <c r="AK89" s="3"/>
      <c r="AL89" s="3"/>
      <c r="AM89" s="3"/>
      <c r="AN89" s="3"/>
      <c r="AO89" s="3"/>
      <c r="AP89" s="3"/>
    </row>
    <row r="90" spans="1:42" s="28" customFormat="1" x14ac:dyDescent="0.3">
      <c r="A90" s="74" t="s">
        <v>526</v>
      </c>
      <c r="B90" s="8" t="s">
        <v>482</v>
      </c>
      <c r="C90" s="8" t="s">
        <v>483</v>
      </c>
      <c r="D90" s="21"/>
      <c r="E90" s="609"/>
      <c r="F90" s="610"/>
      <c r="G90" s="610"/>
      <c r="H90" s="611"/>
      <c r="I90" s="25"/>
      <c r="J90" s="65"/>
      <c r="K90" s="606"/>
      <c r="L90" s="608"/>
      <c r="M90" s="25"/>
      <c r="N90" s="13"/>
      <c r="O90" s="18"/>
      <c r="P90" s="18"/>
      <c r="Q90" s="18"/>
      <c r="R90" s="18"/>
      <c r="S90" s="18"/>
      <c r="T90" s="18"/>
      <c r="U90" s="18"/>
      <c r="V90" s="18"/>
      <c r="W90" s="18"/>
      <c r="X90" s="18"/>
      <c r="Y90" s="18"/>
      <c r="Z90" s="39"/>
      <c r="AA90" s="3"/>
      <c r="AB90" s="3"/>
      <c r="AC90" s="3"/>
      <c r="AD90" s="3"/>
      <c r="AE90" s="3"/>
      <c r="AF90" s="22"/>
      <c r="AG90" s="3"/>
      <c r="AH90" s="3"/>
      <c r="AI90" s="3"/>
      <c r="AJ90" s="3"/>
      <c r="AK90" s="3"/>
      <c r="AL90" s="3"/>
      <c r="AM90" s="3"/>
      <c r="AN90" s="3"/>
      <c r="AO90" s="3"/>
      <c r="AP90" s="3"/>
    </row>
    <row r="91" spans="1:42" s="28" customFormat="1" x14ac:dyDescent="0.3">
      <c r="A91" s="74" t="s">
        <v>527</v>
      </c>
      <c r="B91" s="8" t="s">
        <v>196</v>
      </c>
      <c r="C91" s="8" t="s">
        <v>460</v>
      </c>
      <c r="D91" s="21"/>
      <c r="E91" s="609"/>
      <c r="F91" s="610"/>
      <c r="G91" s="610"/>
      <c r="H91" s="611"/>
      <c r="I91" s="25"/>
      <c r="J91" s="65"/>
      <c r="K91" s="606"/>
      <c r="L91" s="608"/>
      <c r="M91" s="25"/>
      <c r="N91" s="13"/>
      <c r="O91" s="18"/>
      <c r="P91" s="18"/>
      <c r="Q91" s="18"/>
      <c r="R91" s="18"/>
      <c r="S91" s="18"/>
      <c r="T91" s="18"/>
      <c r="U91" s="18"/>
      <c r="V91" s="18"/>
      <c r="W91" s="18"/>
      <c r="X91" s="18"/>
      <c r="Y91" s="18"/>
      <c r="Z91" s="39"/>
      <c r="AA91" s="3"/>
      <c r="AB91" s="3"/>
      <c r="AC91" s="3"/>
      <c r="AD91" s="3"/>
      <c r="AE91" s="3"/>
      <c r="AF91" s="22"/>
      <c r="AG91" s="3"/>
      <c r="AH91" s="3"/>
      <c r="AI91" s="3"/>
      <c r="AJ91" s="3"/>
      <c r="AK91" s="3"/>
      <c r="AL91" s="3"/>
      <c r="AM91" s="3"/>
      <c r="AN91" s="3"/>
      <c r="AO91" s="3"/>
      <c r="AP91" s="3"/>
    </row>
    <row r="92" spans="1:42" s="28" customFormat="1" x14ac:dyDescent="0.3">
      <c r="A92" s="74" t="s">
        <v>528</v>
      </c>
      <c r="B92" s="8" t="s">
        <v>482</v>
      </c>
      <c r="C92" s="8" t="s">
        <v>483</v>
      </c>
      <c r="D92" s="21"/>
      <c r="E92" s="609"/>
      <c r="F92" s="610"/>
      <c r="G92" s="610"/>
      <c r="H92" s="611"/>
      <c r="I92" s="25"/>
      <c r="J92" s="65"/>
      <c r="K92" s="606"/>
      <c r="L92" s="608"/>
      <c r="M92" s="25"/>
      <c r="N92" s="13"/>
      <c r="O92" s="18"/>
      <c r="P92" s="18"/>
      <c r="Q92" s="18"/>
      <c r="R92" s="18"/>
      <c r="S92" s="18"/>
      <c r="T92" s="18"/>
      <c r="U92" s="18"/>
      <c r="V92" s="18"/>
      <c r="W92" s="18"/>
      <c r="X92" s="18"/>
      <c r="Y92" s="18"/>
      <c r="Z92" s="39"/>
      <c r="AA92" s="3"/>
      <c r="AB92" s="3"/>
      <c r="AC92" s="3"/>
      <c r="AD92" s="3"/>
      <c r="AE92" s="3"/>
      <c r="AF92" s="22"/>
      <c r="AG92" s="3"/>
      <c r="AH92" s="3"/>
      <c r="AI92" s="3"/>
      <c r="AJ92" s="3"/>
      <c r="AK92" s="3"/>
      <c r="AL92" s="3"/>
      <c r="AM92" s="3"/>
      <c r="AN92" s="3"/>
      <c r="AO92" s="3"/>
      <c r="AP92" s="3"/>
    </row>
    <row r="93" spans="1:42" s="28" customFormat="1" x14ac:dyDescent="0.3">
      <c r="A93" s="74" t="s">
        <v>529</v>
      </c>
      <c r="B93" s="8" t="s">
        <v>196</v>
      </c>
      <c r="C93" s="8" t="s">
        <v>460</v>
      </c>
      <c r="D93" s="21"/>
      <c r="E93" s="609"/>
      <c r="F93" s="610"/>
      <c r="G93" s="610"/>
      <c r="H93" s="611"/>
      <c r="I93" s="25"/>
      <c r="J93" s="65"/>
      <c r="K93" s="606"/>
      <c r="L93" s="608"/>
      <c r="M93" s="25"/>
      <c r="N93" s="13"/>
      <c r="O93" s="18"/>
      <c r="P93" s="18"/>
      <c r="Q93" s="18"/>
      <c r="R93" s="18"/>
      <c r="S93" s="18"/>
      <c r="T93" s="18"/>
      <c r="U93" s="18"/>
      <c r="V93" s="18"/>
      <c r="W93" s="18"/>
      <c r="X93" s="18"/>
      <c r="Y93" s="18"/>
      <c r="Z93" s="39"/>
      <c r="AA93" s="3"/>
      <c r="AB93" s="3"/>
      <c r="AC93" s="3"/>
      <c r="AD93" s="3"/>
      <c r="AE93" s="3"/>
      <c r="AF93" s="22"/>
      <c r="AG93" s="3"/>
      <c r="AH93" s="3"/>
      <c r="AI93" s="3"/>
      <c r="AJ93" s="3"/>
      <c r="AK93" s="3"/>
      <c r="AL93" s="3"/>
      <c r="AM93" s="3"/>
      <c r="AN93" s="3"/>
      <c r="AO93" s="3"/>
      <c r="AP93" s="3"/>
    </row>
    <row r="94" spans="1:42" s="28" customFormat="1" x14ac:dyDescent="0.3">
      <c r="A94" s="74" t="s">
        <v>532</v>
      </c>
      <c r="B94" s="8" t="s">
        <v>192</v>
      </c>
      <c r="C94" s="8" t="s">
        <v>533</v>
      </c>
      <c r="D94" s="21"/>
      <c r="E94" s="609"/>
      <c r="F94" s="610"/>
      <c r="G94" s="610"/>
      <c r="H94" s="611"/>
      <c r="I94" s="25"/>
      <c r="J94" s="65"/>
      <c r="K94" s="606"/>
      <c r="L94" s="608"/>
      <c r="M94" s="25"/>
      <c r="N94" s="13"/>
      <c r="O94" s="18"/>
      <c r="P94" s="18"/>
      <c r="Q94" s="18"/>
      <c r="R94" s="18"/>
      <c r="S94" s="18"/>
      <c r="T94" s="18"/>
      <c r="U94" s="18"/>
      <c r="V94" s="18"/>
      <c r="W94" s="18"/>
      <c r="X94" s="18"/>
      <c r="Y94" s="18"/>
      <c r="Z94" s="39"/>
      <c r="AA94" s="3"/>
      <c r="AB94" s="3"/>
      <c r="AC94" s="3"/>
      <c r="AD94" s="3"/>
      <c r="AE94" s="3"/>
      <c r="AF94" s="22"/>
      <c r="AG94" s="3"/>
      <c r="AH94" s="3"/>
      <c r="AI94" s="3"/>
      <c r="AJ94" s="3"/>
      <c r="AK94" s="3"/>
      <c r="AL94" s="3"/>
      <c r="AM94" s="3"/>
      <c r="AN94" s="3"/>
      <c r="AO94" s="3"/>
      <c r="AP94" s="3"/>
    </row>
    <row r="95" spans="1:42" s="28" customFormat="1" x14ac:dyDescent="0.3">
      <c r="A95" s="74" t="s">
        <v>534</v>
      </c>
      <c r="B95" s="8" t="s">
        <v>482</v>
      </c>
      <c r="C95" s="8" t="s">
        <v>483</v>
      </c>
      <c r="D95" s="21"/>
      <c r="E95" s="609"/>
      <c r="F95" s="610"/>
      <c r="G95" s="610"/>
      <c r="H95" s="611"/>
      <c r="I95" s="25"/>
      <c r="J95" s="65"/>
      <c r="K95" s="606"/>
      <c r="L95" s="608"/>
      <c r="M95" s="25"/>
      <c r="N95" s="13"/>
      <c r="O95" s="18"/>
      <c r="P95" s="18"/>
      <c r="Q95" s="18"/>
      <c r="R95" s="18"/>
      <c r="S95" s="18"/>
      <c r="T95" s="18"/>
      <c r="U95" s="18"/>
      <c r="V95" s="18"/>
      <c r="W95" s="18"/>
      <c r="X95" s="18"/>
      <c r="Y95" s="18"/>
      <c r="Z95" s="39"/>
      <c r="AA95" s="3"/>
      <c r="AB95" s="3"/>
      <c r="AC95" s="3"/>
      <c r="AD95" s="3"/>
      <c r="AE95" s="3"/>
      <c r="AF95" s="22"/>
      <c r="AG95" s="3"/>
      <c r="AH95" s="3"/>
      <c r="AI95" s="3"/>
      <c r="AJ95" s="3"/>
      <c r="AK95" s="3"/>
      <c r="AL95" s="3"/>
      <c r="AM95" s="3"/>
      <c r="AN95" s="3"/>
      <c r="AO95" s="3"/>
      <c r="AP95" s="3"/>
    </row>
    <row r="96" spans="1:42" s="28" customFormat="1" x14ac:dyDescent="0.3">
      <c r="A96" s="74" t="s">
        <v>535</v>
      </c>
      <c r="B96" s="8" t="s">
        <v>482</v>
      </c>
      <c r="C96" s="8" t="s">
        <v>483</v>
      </c>
      <c r="D96" s="21"/>
      <c r="E96" s="609"/>
      <c r="F96" s="610"/>
      <c r="G96" s="610"/>
      <c r="H96" s="611"/>
      <c r="I96" s="25"/>
      <c r="J96" s="65"/>
      <c r="K96" s="606"/>
      <c r="L96" s="608"/>
      <c r="M96" s="25"/>
      <c r="N96" s="13"/>
      <c r="O96" s="18"/>
      <c r="P96" s="18"/>
      <c r="Q96" s="18"/>
      <c r="R96" s="18"/>
      <c r="S96" s="18"/>
      <c r="T96" s="18"/>
      <c r="U96" s="18"/>
      <c r="V96" s="18"/>
      <c r="W96" s="18"/>
      <c r="X96" s="18"/>
      <c r="Y96" s="18"/>
      <c r="Z96" s="39"/>
      <c r="AA96" s="3"/>
      <c r="AB96" s="3"/>
      <c r="AC96" s="3"/>
      <c r="AD96" s="3"/>
      <c r="AE96" s="3"/>
      <c r="AF96" s="22"/>
      <c r="AG96" s="3"/>
      <c r="AH96" s="3"/>
      <c r="AI96" s="3"/>
      <c r="AJ96" s="3"/>
      <c r="AK96" s="3"/>
      <c r="AL96" s="3"/>
      <c r="AM96" s="3"/>
      <c r="AN96" s="3"/>
      <c r="AO96" s="3"/>
      <c r="AP96" s="3"/>
    </row>
    <row r="97" spans="1:41" s="28" customFormat="1" x14ac:dyDescent="0.3">
      <c r="A97" s="41"/>
      <c r="B97" s="3"/>
      <c r="C97" s="12"/>
      <c r="D97" s="623"/>
      <c r="E97" s="623"/>
      <c r="F97" s="623"/>
      <c r="G97" s="25"/>
      <c r="H97" s="25"/>
      <c r="I97" s="25"/>
      <c r="J97" s="30"/>
      <c r="K97" s="25"/>
      <c r="L97" s="25"/>
      <c r="M97" s="3"/>
      <c r="N97" s="72"/>
      <c r="O97" s="72"/>
      <c r="P97" s="72"/>
      <c r="Q97" s="72"/>
      <c r="T97" s="30"/>
      <c r="U97" s="30"/>
      <c r="Z97" s="3"/>
      <c r="AA97" s="3"/>
      <c r="AB97" s="3"/>
      <c r="AC97" s="3"/>
      <c r="AD97" s="3"/>
      <c r="AE97" s="22"/>
      <c r="AF97" s="3"/>
      <c r="AG97" s="3"/>
      <c r="AH97" s="3"/>
      <c r="AI97" s="3"/>
      <c r="AJ97" s="3"/>
      <c r="AK97" s="3"/>
      <c r="AL97" s="3"/>
      <c r="AM97" s="3"/>
      <c r="AN97" s="3"/>
      <c r="AO97" s="3"/>
    </row>
    <row r="98" spans="1:41" s="28" customFormat="1" x14ac:dyDescent="0.3">
      <c r="A98" s="41"/>
      <c r="B98" s="3"/>
      <c r="C98" s="12"/>
      <c r="D98" s="623"/>
      <c r="E98" s="623"/>
      <c r="F98" s="623"/>
      <c r="G98" s="25"/>
      <c r="H98" s="25"/>
      <c r="I98" s="25"/>
      <c r="J98" s="30"/>
      <c r="K98" s="25"/>
      <c r="L98" s="25"/>
      <c r="M98" s="3"/>
      <c r="Z98" s="11"/>
      <c r="AA98" s="3"/>
      <c r="AB98" s="3"/>
      <c r="AC98" s="3"/>
      <c r="AD98" s="3"/>
      <c r="AE98" s="22"/>
      <c r="AF98" s="3"/>
      <c r="AG98" s="3"/>
      <c r="AH98" s="3"/>
      <c r="AI98" s="3"/>
      <c r="AJ98" s="3"/>
      <c r="AK98" s="3"/>
      <c r="AL98" s="3"/>
      <c r="AM98" s="3"/>
      <c r="AN98" s="3"/>
      <c r="AO98" s="3"/>
    </row>
    <row r="99" spans="1:41" s="28" customFormat="1" x14ac:dyDescent="0.3">
      <c r="A99" s="41"/>
      <c r="B99" s="3"/>
      <c r="C99" s="12"/>
      <c r="D99" s="623"/>
      <c r="E99" s="623"/>
      <c r="F99" s="623"/>
      <c r="G99" s="25"/>
      <c r="H99" s="25"/>
      <c r="I99" s="25"/>
      <c r="J99" s="30"/>
      <c r="K99" s="25"/>
      <c r="L99" s="25"/>
      <c r="M99" s="3"/>
      <c r="N99" s="72"/>
      <c r="O99" s="72"/>
      <c r="P99" s="72"/>
      <c r="Q99" s="72"/>
      <c r="T99" s="30"/>
      <c r="U99" s="30"/>
      <c r="Z99" s="3"/>
      <c r="AA99" s="3"/>
      <c r="AB99" s="3"/>
      <c r="AC99" s="3"/>
      <c r="AD99" s="3"/>
      <c r="AE99" s="22"/>
      <c r="AF99" s="3"/>
      <c r="AG99" s="3"/>
      <c r="AH99" s="3"/>
      <c r="AI99" s="3"/>
      <c r="AJ99" s="3"/>
      <c r="AK99" s="3"/>
      <c r="AL99" s="3"/>
      <c r="AM99" s="3"/>
      <c r="AN99" s="3"/>
      <c r="AO99" s="3"/>
    </row>
    <row r="100" spans="1:41" s="28" customFormat="1" x14ac:dyDescent="0.3">
      <c r="A100" s="41"/>
      <c r="B100" s="3"/>
      <c r="C100" s="12"/>
      <c r="D100" s="623"/>
      <c r="E100" s="623"/>
      <c r="F100" s="623"/>
      <c r="G100" s="25"/>
      <c r="H100" s="25"/>
      <c r="I100" s="25"/>
      <c r="J100" s="30"/>
      <c r="K100" s="25"/>
      <c r="L100" s="25"/>
      <c r="M100" s="3"/>
      <c r="N100" s="72"/>
      <c r="O100" s="72"/>
      <c r="P100" s="72"/>
      <c r="Q100" s="72"/>
      <c r="T100" s="30"/>
      <c r="U100" s="30"/>
      <c r="Z100" s="3"/>
      <c r="AA100" s="3"/>
      <c r="AB100" s="3"/>
      <c r="AC100" s="3"/>
      <c r="AD100" s="3"/>
      <c r="AE100" s="22"/>
      <c r="AF100" s="3"/>
      <c r="AG100" s="3"/>
      <c r="AH100" s="3"/>
      <c r="AI100" s="3"/>
      <c r="AJ100" s="3"/>
      <c r="AK100" s="3"/>
      <c r="AL100" s="3"/>
      <c r="AM100" s="3"/>
      <c r="AN100" s="3"/>
      <c r="AO100" s="3"/>
    </row>
    <row r="101" spans="1:41" s="28" customFormat="1" x14ac:dyDescent="0.3">
      <c r="A101" s="41"/>
      <c r="B101" s="3"/>
      <c r="C101" s="12"/>
      <c r="D101" s="623"/>
      <c r="E101" s="623"/>
      <c r="F101" s="623"/>
      <c r="G101" s="25"/>
      <c r="H101" s="25"/>
      <c r="I101" s="25"/>
      <c r="J101" s="30"/>
      <c r="K101" s="25"/>
      <c r="L101" s="25"/>
      <c r="M101" s="3"/>
      <c r="N101" s="72"/>
      <c r="O101" s="72"/>
      <c r="P101" s="72"/>
      <c r="Q101" s="72"/>
      <c r="T101" s="30"/>
      <c r="U101" s="30"/>
      <c r="Z101" s="3"/>
      <c r="AA101" s="3"/>
      <c r="AB101" s="3"/>
      <c r="AC101" s="3"/>
      <c r="AD101" s="3"/>
      <c r="AE101" s="22"/>
      <c r="AF101" s="3"/>
      <c r="AG101" s="3"/>
      <c r="AH101" s="3"/>
      <c r="AI101" s="3"/>
      <c r="AJ101" s="3"/>
      <c r="AK101" s="3"/>
      <c r="AL101" s="3"/>
      <c r="AM101" s="3"/>
      <c r="AN101" s="3"/>
      <c r="AO101" s="3"/>
    </row>
    <row r="102" spans="1:41" s="28" customFormat="1" x14ac:dyDescent="0.3">
      <c r="A102" s="41"/>
      <c r="B102" s="3"/>
      <c r="C102" s="12"/>
      <c r="D102" s="623"/>
      <c r="E102" s="623"/>
      <c r="F102" s="623"/>
      <c r="G102" s="25"/>
      <c r="H102" s="25"/>
      <c r="I102" s="25"/>
      <c r="J102" s="30"/>
      <c r="K102" s="25"/>
      <c r="L102" s="25"/>
      <c r="M102" s="3"/>
      <c r="N102" s="72"/>
      <c r="O102" s="72"/>
      <c r="P102" s="72"/>
      <c r="Q102" s="72"/>
      <c r="T102" s="30"/>
      <c r="U102" s="30"/>
      <c r="Z102" s="3"/>
      <c r="AA102" s="3"/>
      <c r="AB102" s="3"/>
      <c r="AC102" s="3"/>
      <c r="AD102" s="3"/>
      <c r="AE102" s="22"/>
      <c r="AF102" s="3"/>
      <c r="AG102" s="3"/>
      <c r="AH102" s="3"/>
      <c r="AI102" s="3"/>
      <c r="AJ102" s="3"/>
      <c r="AK102" s="3"/>
      <c r="AL102" s="3"/>
      <c r="AM102" s="3"/>
      <c r="AN102" s="3"/>
      <c r="AO102" s="3"/>
    </row>
    <row r="103" spans="1:41" s="28" customFormat="1" x14ac:dyDescent="0.3">
      <c r="A103" s="41"/>
      <c r="B103" s="3"/>
      <c r="C103" s="12"/>
      <c r="D103" s="623"/>
      <c r="E103" s="623"/>
      <c r="F103" s="623"/>
      <c r="G103" s="25"/>
      <c r="H103" s="25"/>
      <c r="I103" s="25"/>
      <c r="J103" s="30"/>
      <c r="K103" s="25"/>
      <c r="L103" s="25"/>
      <c r="M103" s="3"/>
      <c r="N103" s="72"/>
      <c r="O103" s="72"/>
      <c r="P103" s="72"/>
      <c r="Q103" s="72"/>
      <c r="T103" s="30"/>
      <c r="U103" s="30"/>
      <c r="Z103" s="3"/>
      <c r="AA103" s="3"/>
      <c r="AB103" s="3"/>
      <c r="AC103" s="3"/>
      <c r="AD103" s="3"/>
      <c r="AE103" s="22"/>
      <c r="AF103" s="3"/>
      <c r="AG103" s="3"/>
      <c r="AH103" s="3"/>
      <c r="AI103" s="3"/>
      <c r="AJ103" s="3"/>
      <c r="AK103" s="3"/>
      <c r="AL103" s="3"/>
      <c r="AM103" s="3"/>
      <c r="AN103" s="3"/>
      <c r="AO103" s="3"/>
    </row>
    <row r="104" spans="1:41" s="28" customFormat="1" x14ac:dyDescent="0.3">
      <c r="A104" s="41"/>
      <c r="B104" s="3"/>
      <c r="C104" s="12"/>
      <c r="D104" s="623"/>
      <c r="E104" s="623"/>
      <c r="F104" s="623"/>
      <c r="G104" s="25"/>
      <c r="H104" s="25"/>
      <c r="I104" s="25"/>
      <c r="J104" s="30"/>
      <c r="K104" s="25"/>
      <c r="L104" s="25"/>
      <c r="M104" s="3"/>
      <c r="N104" s="72"/>
      <c r="O104" s="72"/>
      <c r="P104" s="72"/>
      <c r="Q104" s="72"/>
      <c r="T104" s="30"/>
      <c r="U104" s="30"/>
      <c r="Z104" s="3"/>
      <c r="AA104" s="3"/>
      <c r="AB104" s="3"/>
      <c r="AC104" s="3"/>
      <c r="AD104" s="3"/>
      <c r="AE104" s="22"/>
      <c r="AF104" s="3"/>
      <c r="AG104" s="3"/>
      <c r="AH104" s="3"/>
      <c r="AI104" s="3"/>
      <c r="AJ104" s="3"/>
      <c r="AK104" s="3"/>
      <c r="AL104" s="3"/>
      <c r="AM104" s="3"/>
      <c r="AN104" s="3"/>
      <c r="AO104" s="3"/>
    </row>
    <row r="105" spans="1:41" s="28" customFormat="1" x14ac:dyDescent="0.3">
      <c r="A105" s="41"/>
      <c r="B105" s="3"/>
      <c r="C105" s="12"/>
      <c r="D105" s="623"/>
      <c r="E105" s="623"/>
      <c r="F105" s="623"/>
      <c r="G105" s="25"/>
      <c r="H105" s="25"/>
      <c r="I105" s="25"/>
      <c r="J105" s="30"/>
      <c r="K105" s="25"/>
      <c r="L105" s="25"/>
      <c r="M105" s="3"/>
      <c r="N105" s="72"/>
      <c r="O105" s="72"/>
      <c r="P105" s="72"/>
      <c r="Q105" s="72"/>
      <c r="T105" s="30"/>
      <c r="U105" s="30"/>
      <c r="Z105" s="3"/>
      <c r="AA105" s="3"/>
      <c r="AB105" s="3"/>
      <c r="AC105" s="3"/>
      <c r="AD105" s="3"/>
      <c r="AE105" s="22"/>
      <c r="AF105" s="3"/>
      <c r="AG105" s="3"/>
      <c r="AH105" s="3"/>
      <c r="AI105" s="3"/>
      <c r="AJ105" s="3"/>
      <c r="AK105" s="3"/>
      <c r="AL105" s="3"/>
      <c r="AM105" s="3"/>
      <c r="AN105" s="3"/>
      <c r="AO105" s="3"/>
    </row>
    <row r="106" spans="1:41" s="28" customFormat="1" x14ac:dyDescent="0.3">
      <c r="A106" s="41"/>
      <c r="B106" s="3"/>
      <c r="C106" s="12"/>
      <c r="D106" s="623"/>
      <c r="E106" s="623"/>
      <c r="F106" s="623"/>
      <c r="G106" s="25"/>
      <c r="H106" s="25"/>
      <c r="I106" s="25"/>
      <c r="J106" s="30"/>
      <c r="K106" s="25"/>
      <c r="L106" s="25"/>
      <c r="M106" s="3"/>
      <c r="N106" s="72"/>
      <c r="O106" s="72"/>
      <c r="P106" s="72"/>
      <c r="Q106" s="72"/>
      <c r="T106" s="30"/>
      <c r="U106" s="30"/>
      <c r="Z106" s="3"/>
      <c r="AA106" s="3"/>
      <c r="AB106" s="3"/>
      <c r="AC106" s="3"/>
      <c r="AD106" s="3"/>
      <c r="AE106" s="22"/>
      <c r="AF106" s="3"/>
      <c r="AG106" s="3"/>
      <c r="AH106" s="3"/>
      <c r="AI106" s="3"/>
      <c r="AJ106" s="3"/>
      <c r="AK106" s="3"/>
      <c r="AL106" s="3"/>
      <c r="AM106" s="3"/>
      <c r="AN106" s="3"/>
      <c r="AO106" s="3"/>
    </row>
    <row r="107" spans="1:41" s="28" customFormat="1" x14ac:dyDescent="0.3">
      <c r="A107" s="41"/>
      <c r="B107" s="3"/>
      <c r="C107" s="12"/>
      <c r="D107" s="623"/>
      <c r="E107" s="623"/>
      <c r="F107" s="623"/>
      <c r="G107" s="25"/>
      <c r="H107" s="25"/>
      <c r="I107" s="25"/>
      <c r="J107" s="30"/>
      <c r="K107" s="25"/>
      <c r="L107" s="25"/>
      <c r="M107" s="3"/>
      <c r="N107" s="72"/>
      <c r="O107" s="72"/>
      <c r="P107" s="72"/>
      <c r="Q107" s="72"/>
      <c r="T107" s="30"/>
      <c r="U107" s="30"/>
      <c r="Z107" s="3"/>
      <c r="AA107" s="3"/>
      <c r="AB107" s="3"/>
      <c r="AC107" s="3"/>
      <c r="AD107" s="3"/>
      <c r="AE107" s="22"/>
      <c r="AF107" s="3"/>
      <c r="AG107" s="3"/>
      <c r="AH107" s="3"/>
      <c r="AI107" s="3"/>
      <c r="AJ107" s="3"/>
      <c r="AK107" s="3"/>
      <c r="AL107" s="3"/>
      <c r="AM107" s="3"/>
      <c r="AN107" s="3"/>
      <c r="AO107" s="3"/>
    </row>
    <row r="108" spans="1:41" s="28" customFormat="1" x14ac:dyDescent="0.3">
      <c r="A108" s="41"/>
      <c r="B108" s="3"/>
      <c r="C108" s="12"/>
      <c r="D108" s="623"/>
      <c r="E108" s="623"/>
      <c r="F108" s="623"/>
      <c r="G108" s="25"/>
      <c r="H108" s="25"/>
      <c r="I108" s="25"/>
      <c r="J108" s="30"/>
      <c r="K108" s="25"/>
      <c r="L108" s="25"/>
      <c r="M108" s="3"/>
      <c r="N108" s="72"/>
      <c r="O108" s="72"/>
      <c r="P108" s="72"/>
      <c r="Q108" s="72"/>
      <c r="T108" s="30"/>
      <c r="U108" s="30"/>
      <c r="Z108" s="3"/>
      <c r="AA108" s="3"/>
      <c r="AB108" s="3"/>
      <c r="AC108" s="3"/>
      <c r="AD108" s="3"/>
      <c r="AE108" s="22"/>
      <c r="AF108" s="3"/>
      <c r="AG108" s="3"/>
      <c r="AH108" s="3"/>
      <c r="AI108" s="3"/>
      <c r="AJ108" s="3"/>
      <c r="AK108" s="3"/>
      <c r="AL108" s="3"/>
      <c r="AM108" s="3"/>
      <c r="AN108" s="3"/>
      <c r="AO108" s="3"/>
    </row>
    <row r="109" spans="1:41" s="28" customFormat="1" x14ac:dyDescent="0.3">
      <c r="A109" s="41"/>
      <c r="B109" s="3"/>
      <c r="C109" s="12"/>
      <c r="D109" s="623"/>
      <c r="E109" s="623"/>
      <c r="F109" s="623"/>
      <c r="G109" s="25"/>
      <c r="H109" s="25"/>
      <c r="I109" s="25"/>
      <c r="J109" s="30"/>
      <c r="K109" s="25"/>
      <c r="L109" s="25"/>
      <c r="M109" s="3"/>
      <c r="N109" s="72"/>
      <c r="O109" s="72"/>
      <c r="P109" s="72"/>
      <c r="Q109" s="72"/>
      <c r="T109" s="30"/>
      <c r="U109" s="30"/>
      <c r="Z109" s="3"/>
      <c r="AA109" s="3"/>
      <c r="AB109" s="3"/>
      <c r="AC109" s="3"/>
      <c r="AD109" s="3"/>
      <c r="AE109" s="22"/>
      <c r="AF109" s="3"/>
      <c r="AG109" s="3"/>
      <c r="AH109" s="3"/>
      <c r="AI109" s="3"/>
      <c r="AJ109" s="3"/>
      <c r="AK109" s="3"/>
      <c r="AL109" s="3"/>
      <c r="AM109" s="3"/>
      <c r="AN109" s="3"/>
      <c r="AO109" s="3"/>
    </row>
    <row r="110" spans="1:41" s="28" customFormat="1" x14ac:dyDescent="0.3">
      <c r="A110" s="41"/>
      <c r="B110" s="3"/>
      <c r="C110" s="12"/>
      <c r="D110" s="623"/>
      <c r="E110" s="623"/>
      <c r="F110" s="623"/>
      <c r="G110" s="25"/>
      <c r="H110" s="25"/>
      <c r="I110" s="25"/>
      <c r="J110" s="30"/>
      <c r="K110" s="25"/>
      <c r="L110" s="25"/>
      <c r="M110" s="3"/>
      <c r="N110" s="72"/>
      <c r="O110" s="72"/>
      <c r="P110" s="72"/>
      <c r="Q110" s="72"/>
      <c r="T110" s="30"/>
      <c r="U110" s="30"/>
      <c r="Z110" s="3"/>
      <c r="AA110" s="3"/>
      <c r="AB110" s="3"/>
      <c r="AC110" s="3"/>
      <c r="AD110" s="3"/>
      <c r="AE110" s="22"/>
      <c r="AF110" s="3"/>
      <c r="AG110" s="3"/>
      <c r="AH110" s="3"/>
      <c r="AI110" s="3"/>
      <c r="AJ110" s="3"/>
      <c r="AK110" s="3"/>
      <c r="AL110" s="3"/>
      <c r="AM110" s="3"/>
      <c r="AN110" s="3"/>
      <c r="AO110" s="3"/>
    </row>
    <row r="111" spans="1:41" s="28" customFormat="1" x14ac:dyDescent="0.3">
      <c r="A111" s="41"/>
      <c r="B111" s="3"/>
      <c r="C111" s="12"/>
      <c r="D111" s="623"/>
      <c r="E111" s="623"/>
      <c r="F111" s="623"/>
      <c r="G111" s="25"/>
      <c r="H111" s="25"/>
      <c r="I111" s="25"/>
      <c r="J111" s="30"/>
      <c r="K111" s="25"/>
      <c r="L111" s="25"/>
      <c r="M111" s="3"/>
      <c r="N111" s="72"/>
      <c r="O111" s="72"/>
      <c r="P111" s="72"/>
      <c r="Q111" s="72"/>
      <c r="T111" s="30"/>
      <c r="U111" s="30"/>
      <c r="Z111" s="3"/>
      <c r="AA111" s="3"/>
      <c r="AB111" s="3"/>
      <c r="AC111" s="3"/>
      <c r="AD111" s="3"/>
      <c r="AE111" s="22"/>
      <c r="AF111" s="3"/>
      <c r="AG111" s="3"/>
      <c r="AH111" s="3"/>
      <c r="AI111" s="3"/>
      <c r="AJ111" s="3"/>
      <c r="AK111" s="3"/>
      <c r="AL111" s="3"/>
      <c r="AM111" s="3"/>
      <c r="AN111" s="3"/>
      <c r="AO111" s="3"/>
    </row>
    <row r="112" spans="1:41" s="28" customFormat="1" x14ac:dyDescent="0.3">
      <c r="A112" s="41"/>
      <c r="B112" s="3"/>
      <c r="C112" s="12"/>
      <c r="D112" s="623"/>
      <c r="E112" s="623"/>
      <c r="F112" s="623"/>
      <c r="G112" s="25"/>
      <c r="H112" s="25"/>
      <c r="I112" s="25"/>
      <c r="J112" s="30"/>
      <c r="K112" s="25"/>
      <c r="L112" s="25"/>
      <c r="M112" s="3"/>
      <c r="N112" s="72"/>
      <c r="O112" s="72"/>
      <c r="P112" s="72"/>
      <c r="Q112" s="72"/>
      <c r="T112" s="30"/>
      <c r="U112" s="30"/>
      <c r="Z112" s="3"/>
      <c r="AA112" s="3"/>
      <c r="AB112" s="3"/>
      <c r="AC112" s="3"/>
      <c r="AD112" s="3"/>
      <c r="AE112" s="22"/>
      <c r="AF112" s="3"/>
      <c r="AG112" s="3"/>
      <c r="AH112" s="3"/>
      <c r="AI112" s="3"/>
      <c r="AJ112" s="3"/>
      <c r="AK112" s="3"/>
      <c r="AL112" s="3"/>
      <c r="AM112" s="3"/>
      <c r="AN112" s="3"/>
      <c r="AO112" s="3"/>
    </row>
    <row r="113" spans="1:41" s="28" customFormat="1" x14ac:dyDescent="0.3">
      <c r="A113" s="41"/>
      <c r="B113" s="3"/>
      <c r="C113" s="12"/>
      <c r="D113" s="623"/>
      <c r="E113" s="623"/>
      <c r="F113" s="623"/>
      <c r="G113" s="25"/>
      <c r="H113" s="25"/>
      <c r="I113" s="25"/>
      <c r="J113" s="30"/>
      <c r="K113" s="25"/>
      <c r="L113" s="25"/>
      <c r="M113" s="3"/>
      <c r="N113" s="72"/>
      <c r="O113" s="72"/>
      <c r="P113" s="72"/>
      <c r="Q113" s="72"/>
      <c r="T113" s="30"/>
      <c r="U113" s="30"/>
      <c r="Z113" s="3"/>
      <c r="AA113" s="3"/>
      <c r="AB113" s="3"/>
      <c r="AC113" s="3"/>
      <c r="AD113" s="3"/>
      <c r="AE113" s="22"/>
      <c r="AF113" s="3"/>
      <c r="AG113" s="3"/>
      <c r="AH113" s="3"/>
      <c r="AI113" s="3"/>
      <c r="AJ113" s="3"/>
      <c r="AK113" s="3"/>
      <c r="AL113" s="3"/>
      <c r="AM113" s="3"/>
      <c r="AN113" s="3"/>
      <c r="AO113" s="3"/>
    </row>
    <row r="114" spans="1:41" s="28" customFormat="1" x14ac:dyDescent="0.3">
      <c r="A114" s="41"/>
      <c r="B114" s="3"/>
      <c r="C114" s="12"/>
      <c r="D114" s="623"/>
      <c r="E114" s="623"/>
      <c r="F114" s="623"/>
      <c r="G114" s="25"/>
      <c r="H114" s="25"/>
      <c r="I114" s="25"/>
      <c r="J114" s="30"/>
      <c r="K114" s="25"/>
      <c r="L114" s="25"/>
      <c r="M114" s="3"/>
      <c r="N114" s="72"/>
      <c r="O114" s="72"/>
      <c r="P114" s="72"/>
      <c r="Q114" s="72"/>
      <c r="T114" s="30"/>
      <c r="U114" s="30"/>
      <c r="Z114" s="3"/>
      <c r="AA114" s="3"/>
      <c r="AB114" s="3"/>
      <c r="AC114" s="3"/>
      <c r="AD114" s="3"/>
      <c r="AE114" s="22"/>
      <c r="AF114" s="3"/>
      <c r="AG114" s="3"/>
      <c r="AH114" s="3"/>
      <c r="AI114" s="3"/>
      <c r="AJ114" s="3"/>
      <c r="AK114" s="3"/>
      <c r="AL114" s="3"/>
      <c r="AM114" s="3"/>
      <c r="AN114" s="3"/>
      <c r="AO114" s="3"/>
    </row>
  </sheetData>
  <mergeCells count="197">
    <mergeCell ref="J2:L2"/>
    <mergeCell ref="D3:F3"/>
    <mergeCell ref="G3:H3"/>
    <mergeCell ref="D4:F4"/>
    <mergeCell ref="G4:H4"/>
    <mergeCell ref="D5:F5"/>
    <mergeCell ref="G5:H5"/>
    <mergeCell ref="D9:F9"/>
    <mergeCell ref="G9:H9"/>
    <mergeCell ref="D10:F10"/>
    <mergeCell ref="G10:H10"/>
    <mergeCell ref="D11:F11"/>
    <mergeCell ref="G11:H11"/>
    <mergeCell ref="D6:F6"/>
    <mergeCell ref="G6:H6"/>
    <mergeCell ref="D7:F7"/>
    <mergeCell ref="G7:H7"/>
    <mergeCell ref="D8:F8"/>
    <mergeCell ref="G8:H8"/>
    <mergeCell ref="D15:F15"/>
    <mergeCell ref="G15:H15"/>
    <mergeCell ref="D16:F16"/>
    <mergeCell ref="G16:H16"/>
    <mergeCell ref="D17:F17"/>
    <mergeCell ref="G17:H17"/>
    <mergeCell ref="D12:F12"/>
    <mergeCell ref="G12:H12"/>
    <mergeCell ref="D13:F13"/>
    <mergeCell ref="G13:H13"/>
    <mergeCell ref="D14:F14"/>
    <mergeCell ref="G14:H14"/>
    <mergeCell ref="D21:F21"/>
    <mergeCell ref="G21:H21"/>
    <mergeCell ref="D22:F22"/>
    <mergeCell ref="G22:H22"/>
    <mergeCell ref="D23:F23"/>
    <mergeCell ref="G23:H23"/>
    <mergeCell ref="D18:F18"/>
    <mergeCell ref="G18:H18"/>
    <mergeCell ref="D19:F19"/>
    <mergeCell ref="G19:H19"/>
    <mergeCell ref="D20:F20"/>
    <mergeCell ref="G20:H20"/>
    <mergeCell ref="D27:F27"/>
    <mergeCell ref="G27:H27"/>
    <mergeCell ref="D28:F28"/>
    <mergeCell ref="G28:H28"/>
    <mergeCell ref="D29:F29"/>
    <mergeCell ref="G29:H29"/>
    <mergeCell ref="D24:F24"/>
    <mergeCell ref="G24:H24"/>
    <mergeCell ref="D25:F25"/>
    <mergeCell ref="G25:H25"/>
    <mergeCell ref="D26:F26"/>
    <mergeCell ref="G26:H26"/>
    <mergeCell ref="D33:F33"/>
    <mergeCell ref="G33:H33"/>
    <mergeCell ref="D34:F34"/>
    <mergeCell ref="G34:H34"/>
    <mergeCell ref="D35:F35"/>
    <mergeCell ref="G35:H35"/>
    <mergeCell ref="D30:F30"/>
    <mergeCell ref="G30:H30"/>
    <mergeCell ref="D31:F31"/>
    <mergeCell ref="G31:H31"/>
    <mergeCell ref="D32:F32"/>
    <mergeCell ref="G32:H32"/>
    <mergeCell ref="D39:F39"/>
    <mergeCell ref="G39:H39"/>
    <mergeCell ref="D40:F40"/>
    <mergeCell ref="G40:H40"/>
    <mergeCell ref="D41:F41"/>
    <mergeCell ref="G41:H41"/>
    <mergeCell ref="D36:F36"/>
    <mergeCell ref="G36:H36"/>
    <mergeCell ref="D37:F37"/>
    <mergeCell ref="G37:H37"/>
    <mergeCell ref="D38:F38"/>
    <mergeCell ref="G38:H38"/>
    <mergeCell ref="D48:F48"/>
    <mergeCell ref="D49:F49"/>
    <mergeCell ref="D50:F50"/>
    <mergeCell ref="N51:Y51"/>
    <mergeCell ref="E52:G52"/>
    <mergeCell ref="D42:F42"/>
    <mergeCell ref="D43:F43"/>
    <mergeCell ref="D44:F44"/>
    <mergeCell ref="D45:F45"/>
    <mergeCell ref="D46:F46"/>
    <mergeCell ref="D47:F47"/>
    <mergeCell ref="E56:H56"/>
    <mergeCell ref="K56:L56"/>
    <mergeCell ref="E57:H57"/>
    <mergeCell ref="E59:H59"/>
    <mergeCell ref="K59:L59"/>
    <mergeCell ref="E60:H60"/>
    <mergeCell ref="K60:L60"/>
    <mergeCell ref="E53:H53"/>
    <mergeCell ref="K53:L53"/>
    <mergeCell ref="E54:H54"/>
    <mergeCell ref="K54:L54"/>
    <mergeCell ref="E55:H55"/>
    <mergeCell ref="K55:L55"/>
    <mergeCell ref="E58:H58"/>
    <mergeCell ref="K57:L57"/>
    <mergeCell ref="K58:L58"/>
    <mergeCell ref="E64:H64"/>
    <mergeCell ref="K64:L64"/>
    <mergeCell ref="E65:H65"/>
    <mergeCell ref="K65:L65"/>
    <mergeCell ref="E66:H66"/>
    <mergeCell ref="K66:L66"/>
    <mergeCell ref="E61:H61"/>
    <mergeCell ref="K61:L61"/>
    <mergeCell ref="E62:H62"/>
    <mergeCell ref="K62:L62"/>
    <mergeCell ref="E63:H63"/>
    <mergeCell ref="K63:L63"/>
    <mergeCell ref="K72:L72"/>
    <mergeCell ref="E73:H73"/>
    <mergeCell ref="K73:L73"/>
    <mergeCell ref="E74:H74"/>
    <mergeCell ref="K74:L74"/>
    <mergeCell ref="E69:H69"/>
    <mergeCell ref="K69:L69"/>
    <mergeCell ref="E70:H70"/>
    <mergeCell ref="K70:L70"/>
    <mergeCell ref="E71:H71"/>
    <mergeCell ref="K71:L71"/>
    <mergeCell ref="K78:L78"/>
    <mergeCell ref="E79:H79"/>
    <mergeCell ref="K79:L79"/>
    <mergeCell ref="E80:H80"/>
    <mergeCell ref="K80:L80"/>
    <mergeCell ref="E75:H75"/>
    <mergeCell ref="K75:L75"/>
    <mergeCell ref="E76:H76"/>
    <mergeCell ref="K76:L76"/>
    <mergeCell ref="E77:H77"/>
    <mergeCell ref="K77:L77"/>
    <mergeCell ref="K84:L84"/>
    <mergeCell ref="E85:H85"/>
    <mergeCell ref="K85:L85"/>
    <mergeCell ref="E86:H86"/>
    <mergeCell ref="K86:L86"/>
    <mergeCell ref="E81:H81"/>
    <mergeCell ref="K81:L81"/>
    <mergeCell ref="E82:H82"/>
    <mergeCell ref="K82:L82"/>
    <mergeCell ref="E83:H83"/>
    <mergeCell ref="K83:L83"/>
    <mergeCell ref="K90:L90"/>
    <mergeCell ref="E91:H91"/>
    <mergeCell ref="K91:L91"/>
    <mergeCell ref="E92:H92"/>
    <mergeCell ref="K92:L92"/>
    <mergeCell ref="E87:H87"/>
    <mergeCell ref="K87:L87"/>
    <mergeCell ref="E88:H88"/>
    <mergeCell ref="K88:L88"/>
    <mergeCell ref="E89:H89"/>
    <mergeCell ref="K89:L89"/>
    <mergeCell ref="K96:L96"/>
    <mergeCell ref="D97:F97"/>
    <mergeCell ref="D98:F98"/>
    <mergeCell ref="D99:F99"/>
    <mergeCell ref="D100:F100"/>
    <mergeCell ref="E93:H93"/>
    <mergeCell ref="K93:L93"/>
    <mergeCell ref="E94:H94"/>
    <mergeCell ref="K94:L94"/>
    <mergeCell ref="E95:H95"/>
    <mergeCell ref="K95:L95"/>
    <mergeCell ref="K67:L67"/>
    <mergeCell ref="K68:L68"/>
    <mergeCell ref="B51:L51"/>
    <mergeCell ref="E67:H67"/>
    <mergeCell ref="E68:H68"/>
    <mergeCell ref="D113:F113"/>
    <mergeCell ref="D114:F114"/>
    <mergeCell ref="D107:F107"/>
    <mergeCell ref="D108:F108"/>
    <mergeCell ref="D109:F109"/>
    <mergeCell ref="D110:F110"/>
    <mergeCell ref="D111:F111"/>
    <mergeCell ref="D112:F112"/>
    <mergeCell ref="D101:F101"/>
    <mergeCell ref="D102:F102"/>
    <mergeCell ref="D103:F103"/>
    <mergeCell ref="D104:F104"/>
    <mergeCell ref="D105:F105"/>
    <mergeCell ref="D106:F106"/>
    <mergeCell ref="E96:H96"/>
    <mergeCell ref="E90:H90"/>
    <mergeCell ref="E84:H84"/>
    <mergeCell ref="E78:H78"/>
    <mergeCell ref="E72:H7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1841E-65B8-4800-89B9-1C454EAC00C0}">
  <sheetPr codeName="Sheet17"/>
  <dimension ref="A1:AF207"/>
  <sheetViews>
    <sheetView topLeftCell="A154" zoomScale="70" zoomScaleNormal="70" workbookViewId="0">
      <selection activeCell="C170" sqref="C170:G170"/>
    </sheetView>
  </sheetViews>
  <sheetFormatPr defaultColWidth="8.85546875" defaultRowHeight="16.5" x14ac:dyDescent="0.3"/>
  <cols>
    <col min="1" max="1" width="23.85546875" customWidth="1"/>
    <col min="2" max="2" width="61" style="3" customWidth="1"/>
    <col min="3" max="3" width="21.140625" style="3" customWidth="1"/>
    <col min="4" max="4" width="18.85546875" style="3" customWidth="1"/>
    <col min="5" max="5" width="19.140625" style="12" customWidth="1"/>
    <col min="6" max="6" width="19.85546875" style="12" customWidth="1"/>
    <col min="7" max="7" width="16.140625" style="12" customWidth="1"/>
    <col min="8" max="8" width="21.7109375" style="12" bestFit="1" customWidth="1"/>
    <col min="9" max="9" width="36.28515625" style="12" bestFit="1" customWidth="1"/>
    <col min="10" max="10" width="30.5703125" style="12" bestFit="1" customWidth="1"/>
    <col min="11" max="11" width="32" style="12" bestFit="1" customWidth="1"/>
    <col min="12" max="12" width="13.85546875" style="12" bestFit="1" customWidth="1"/>
    <col min="13" max="13" width="30.140625" style="12" bestFit="1" customWidth="1"/>
    <col min="14" max="14" width="31.7109375" style="12" bestFit="1" customWidth="1"/>
    <col min="15" max="15" width="29.5703125" style="12" bestFit="1" customWidth="1"/>
    <col min="16" max="16" width="20.140625" style="12" bestFit="1" customWidth="1"/>
    <col min="17" max="17" width="16.85546875" style="12" customWidth="1"/>
    <col min="18" max="18" width="16.7109375" style="12" customWidth="1"/>
    <col min="19" max="24" width="16.85546875" style="12" customWidth="1"/>
    <col min="25" max="25" width="14.85546875" style="12" customWidth="1"/>
    <col min="26" max="26" width="17.140625" style="12" customWidth="1"/>
    <col min="27" max="27" width="18.85546875" style="27" customWidth="1"/>
    <col min="28" max="29" width="18.85546875" style="3" customWidth="1"/>
    <col min="30" max="32" width="18.85546875" style="11" customWidth="1"/>
  </cols>
  <sheetData>
    <row r="1" spans="1:32" ht="20.25" x14ac:dyDescent="0.3">
      <c r="A1" s="687" t="s">
        <v>552</v>
      </c>
      <c r="B1" s="687"/>
      <c r="C1" s="268" t="s">
        <v>149</v>
      </c>
      <c r="D1" s="238"/>
      <c r="E1" s="238"/>
      <c r="F1" s="226"/>
      <c r="G1" s="226"/>
      <c r="H1" s="226"/>
      <c r="I1" s="226"/>
      <c r="J1" s="226"/>
      <c r="K1" s="226"/>
      <c r="L1" s="226"/>
      <c r="M1" s="226"/>
      <c r="N1" s="226"/>
      <c r="O1" s="226"/>
      <c r="P1" s="226"/>
      <c r="Q1" s="226"/>
      <c r="R1" s="226"/>
      <c r="S1" s="226"/>
      <c r="T1" s="226"/>
      <c r="U1" s="226"/>
      <c r="V1" s="226"/>
      <c r="W1" s="226"/>
      <c r="X1" s="226"/>
      <c r="Y1" s="226"/>
      <c r="Z1" s="226"/>
    </row>
    <row r="2" spans="1:32" ht="20.25" x14ac:dyDescent="0.3">
      <c r="B2" s="226"/>
      <c r="C2" s="267" t="s">
        <v>5</v>
      </c>
      <c r="D2" s="239"/>
      <c r="E2" s="239"/>
      <c r="F2" s="226"/>
      <c r="G2" s="226"/>
      <c r="H2" s="226"/>
      <c r="I2" s="226"/>
      <c r="J2" s="226"/>
      <c r="K2" s="226"/>
      <c r="L2" s="226"/>
      <c r="M2" s="226"/>
      <c r="N2" s="226"/>
      <c r="O2" s="226"/>
      <c r="P2" s="226"/>
      <c r="Q2" s="226"/>
      <c r="R2" s="226"/>
      <c r="S2" s="226"/>
      <c r="T2" s="226"/>
      <c r="U2" s="226"/>
      <c r="V2" s="226"/>
      <c r="W2" s="226"/>
      <c r="X2" s="226"/>
      <c r="Y2" s="226"/>
      <c r="Z2" s="226"/>
    </row>
    <row r="3" spans="1:32" ht="18.75" x14ac:dyDescent="0.3">
      <c r="C3" s="226"/>
      <c r="D3" s="226"/>
      <c r="E3" s="226"/>
      <c r="F3" s="226"/>
      <c r="G3" s="226"/>
      <c r="H3" s="226"/>
      <c r="I3" s="226"/>
      <c r="J3" s="226"/>
      <c r="K3" s="226"/>
      <c r="L3" s="226"/>
      <c r="M3" s="226"/>
      <c r="N3" s="226"/>
      <c r="O3" s="226"/>
      <c r="P3" s="226"/>
      <c r="Q3" s="226"/>
      <c r="R3" s="226"/>
      <c r="S3" s="226"/>
      <c r="T3" s="226"/>
      <c r="U3" s="226"/>
      <c r="V3" s="226"/>
      <c r="W3" s="226"/>
      <c r="X3" s="226"/>
      <c r="Y3" s="226"/>
      <c r="Z3" s="226"/>
    </row>
    <row r="4" spans="1:32" ht="18.75" x14ac:dyDescent="0.3">
      <c r="A4" s="43" t="s">
        <v>6</v>
      </c>
      <c r="B4" s="57"/>
      <c r="C4" s="24"/>
      <c r="D4" s="226"/>
      <c r="E4" s="226"/>
      <c r="F4" s="226"/>
      <c r="G4" s="226"/>
      <c r="H4" s="226"/>
      <c r="I4" s="226"/>
      <c r="J4" s="226"/>
      <c r="K4" s="226"/>
      <c r="L4" s="226"/>
      <c r="M4" s="226"/>
      <c r="N4" s="226"/>
      <c r="O4" s="226"/>
      <c r="P4" s="226"/>
      <c r="Q4" s="226"/>
      <c r="R4" s="226"/>
      <c r="S4" s="226"/>
      <c r="T4" s="226"/>
      <c r="U4" s="226"/>
      <c r="V4" s="226"/>
      <c r="W4" s="226"/>
      <c r="X4" s="226"/>
      <c r="Y4" s="226"/>
      <c r="Z4" s="226"/>
    </row>
    <row r="5" spans="1:32" ht="18.75" x14ac:dyDescent="0.3">
      <c r="A5" s="43" t="s">
        <v>7</v>
      </c>
      <c r="B5" s="57"/>
      <c r="C5" s="24"/>
      <c r="D5" s="226"/>
      <c r="E5" s="226"/>
      <c r="F5" s="226"/>
      <c r="G5" s="226"/>
      <c r="H5" s="226"/>
      <c r="I5" s="226"/>
      <c r="J5" s="226"/>
      <c r="K5" s="226"/>
      <c r="L5" s="226"/>
      <c r="M5" s="226"/>
      <c r="N5" s="226"/>
      <c r="O5" s="226"/>
      <c r="P5" s="226"/>
      <c r="Q5" s="226"/>
      <c r="R5" s="226"/>
      <c r="S5" s="226"/>
      <c r="T5" s="226"/>
      <c r="U5" s="226"/>
      <c r="V5" s="226"/>
      <c r="W5" s="226"/>
      <c r="X5" s="226"/>
      <c r="Y5" s="226"/>
      <c r="Z5" s="226"/>
    </row>
    <row r="6" spans="1:32" ht="18.75" x14ac:dyDescent="0.3">
      <c r="A6" s="43" t="s">
        <v>8</v>
      </c>
      <c r="B6" s="57"/>
      <c r="C6" s="24" t="s">
        <v>835</v>
      </c>
      <c r="D6" s="226"/>
      <c r="E6" s="226"/>
      <c r="F6" s="226"/>
      <c r="G6" s="226"/>
      <c r="H6" s="226"/>
      <c r="I6" s="226"/>
      <c r="J6" s="226"/>
      <c r="K6" s="226"/>
      <c r="L6" s="226"/>
      <c r="M6" s="226"/>
      <c r="N6" s="226"/>
      <c r="O6" s="226"/>
      <c r="P6" s="226"/>
      <c r="Q6" s="226"/>
      <c r="R6" s="226"/>
      <c r="S6" s="226"/>
      <c r="T6" s="226"/>
      <c r="U6" s="226"/>
      <c r="V6" s="226"/>
      <c r="W6" s="226"/>
      <c r="X6" s="226"/>
      <c r="Y6" s="226"/>
      <c r="Z6" s="226"/>
    </row>
    <row r="7" spans="1:32" ht="18.75" x14ac:dyDescent="0.3">
      <c r="A7" s="4"/>
      <c r="B7" s="28"/>
      <c r="C7" s="24"/>
      <c r="D7" s="226"/>
      <c r="E7" s="226"/>
      <c r="F7" s="226"/>
      <c r="G7" s="226"/>
      <c r="H7" s="226"/>
      <c r="I7" s="226"/>
      <c r="J7" s="226"/>
      <c r="K7" s="226"/>
      <c r="L7" s="226"/>
      <c r="M7" s="226"/>
      <c r="N7" s="226"/>
      <c r="O7" s="226"/>
      <c r="P7" s="226"/>
      <c r="Q7" s="226"/>
      <c r="R7" s="226"/>
      <c r="S7" s="226"/>
      <c r="T7" s="226"/>
      <c r="U7" s="226"/>
      <c r="V7" s="226"/>
      <c r="W7" s="226"/>
      <c r="X7" s="226"/>
      <c r="Y7" s="226"/>
      <c r="Z7" s="226"/>
    </row>
    <row r="8" spans="1:32" ht="20.45" customHeight="1" x14ac:dyDescent="0.3">
      <c r="A8" s="213" t="s">
        <v>801</v>
      </c>
      <c r="B8" s="213"/>
      <c r="C8" s="213"/>
      <c r="D8" s="213" t="s">
        <v>880</v>
      </c>
      <c r="E8" s="212"/>
      <c r="F8" s="212"/>
      <c r="G8" s="212"/>
      <c r="H8" s="212"/>
      <c r="I8" s="212"/>
      <c r="J8" s="28"/>
      <c r="V8" s="11"/>
      <c r="W8" s="11"/>
      <c r="X8" s="11"/>
      <c r="Y8" s="11"/>
      <c r="Z8" s="3"/>
      <c r="AA8" s="3"/>
      <c r="AB8"/>
      <c r="AC8"/>
      <c r="AD8"/>
      <c r="AE8"/>
      <c r="AF8"/>
    </row>
    <row r="9" spans="1:32" ht="50.25" customHeight="1" x14ac:dyDescent="0.25">
      <c r="A9" s="690" t="s">
        <v>44</v>
      </c>
      <c r="B9" s="691"/>
      <c r="C9" s="339" t="s">
        <v>151</v>
      </c>
      <c r="D9" s="353" t="s">
        <v>153</v>
      </c>
      <c r="E9" s="336" t="s">
        <v>154</v>
      </c>
      <c r="F9" s="337"/>
      <c r="G9" s="340" t="s">
        <v>444</v>
      </c>
      <c r="H9" s="336" t="s">
        <v>154</v>
      </c>
      <c r="I9" s="337"/>
      <c r="J9" s="45"/>
      <c r="K9" s="44"/>
      <c r="L9" s="44"/>
      <c r="M9" s="44"/>
      <c r="N9" s="44"/>
      <c r="O9" s="44"/>
      <c r="P9" s="44"/>
      <c r="Q9" s="44"/>
      <c r="R9" s="44"/>
      <c r="S9" s="44"/>
      <c r="T9" s="44"/>
      <c r="U9" s="44"/>
      <c r="V9" s="46"/>
      <c r="W9" s="46"/>
      <c r="X9" s="44"/>
      <c r="Y9" s="44"/>
      <c r="Z9" s="47"/>
      <c r="AA9" s="47"/>
      <c r="AB9" s="160"/>
      <c r="AC9" s="160"/>
      <c r="AD9" s="160"/>
      <c r="AE9" s="160"/>
      <c r="AF9" s="160"/>
    </row>
    <row r="10" spans="1:32" x14ac:dyDescent="0.3">
      <c r="A10" s="692"/>
      <c r="B10" s="693"/>
      <c r="C10" s="39">
        <v>1</v>
      </c>
      <c r="D10" s="231"/>
      <c r="E10" s="694"/>
      <c r="F10" s="695"/>
      <c r="G10" s="417"/>
      <c r="H10" s="694"/>
      <c r="I10" s="695"/>
      <c r="J10" s="28"/>
      <c r="K10" s="3"/>
      <c r="L10" s="3"/>
      <c r="M10" s="3"/>
      <c r="N10" s="3"/>
      <c r="O10" s="3"/>
      <c r="P10" s="3"/>
      <c r="Q10" s="3"/>
      <c r="R10" s="3"/>
      <c r="S10" s="3"/>
      <c r="T10" s="3"/>
      <c r="U10" s="28"/>
      <c r="V10" s="33"/>
      <c r="W10" s="33"/>
      <c r="X10" s="4"/>
      <c r="Y10" s="4"/>
      <c r="Z10" s="1"/>
      <c r="AA10" s="1"/>
      <c r="AB10"/>
      <c r="AC10"/>
      <c r="AD10"/>
      <c r="AE10"/>
      <c r="AF10"/>
    </row>
    <row r="11" spans="1:32" x14ac:dyDescent="0.3">
      <c r="A11" s="692"/>
      <c r="B11" s="693"/>
      <c r="C11" s="39">
        <v>2</v>
      </c>
      <c r="D11" s="231"/>
      <c r="E11" s="681"/>
      <c r="F11" s="681"/>
      <c r="G11" s="417"/>
      <c r="H11" s="681"/>
      <c r="I11" s="681"/>
      <c r="J11" s="28"/>
      <c r="K11" s="42"/>
      <c r="L11" s="42"/>
      <c r="M11" s="42"/>
      <c r="N11" s="42"/>
      <c r="O11" s="42"/>
      <c r="P11" s="42"/>
      <c r="Q11" s="42"/>
      <c r="R11" s="42"/>
      <c r="S11" s="42"/>
      <c r="T11" s="42"/>
      <c r="U11" s="28"/>
      <c r="V11" s="33"/>
      <c r="W11" s="33"/>
      <c r="X11" s="4"/>
      <c r="Y11" s="4"/>
      <c r="Z11" s="1"/>
      <c r="AA11" s="1"/>
      <c r="AB11"/>
      <c r="AC11"/>
      <c r="AD11"/>
      <c r="AE11"/>
      <c r="AF11"/>
    </row>
    <row r="12" spans="1:32" x14ac:dyDescent="0.3">
      <c r="A12" s="688"/>
      <c r="B12" s="689"/>
      <c r="C12" s="39">
        <v>3</v>
      </c>
      <c r="D12" s="231"/>
      <c r="E12" s="681"/>
      <c r="F12" s="681"/>
      <c r="G12" s="237"/>
      <c r="H12" s="681"/>
      <c r="I12" s="681"/>
      <c r="J12" s="28"/>
      <c r="K12" s="3"/>
      <c r="L12" s="3"/>
      <c r="M12" s="3"/>
      <c r="N12" s="3"/>
      <c r="O12" s="3"/>
      <c r="P12" s="3"/>
      <c r="Q12" s="3"/>
      <c r="R12" s="3"/>
      <c r="S12" s="3"/>
      <c r="T12" s="3"/>
      <c r="U12" s="28"/>
      <c r="V12" s="33"/>
      <c r="W12" s="33"/>
      <c r="X12" s="4"/>
      <c r="Y12" s="4"/>
      <c r="Z12" s="1"/>
      <c r="AA12" s="1"/>
      <c r="AB12"/>
      <c r="AC12"/>
      <c r="AD12"/>
      <c r="AE12"/>
      <c r="AF12"/>
    </row>
    <row r="13" spans="1:32" x14ac:dyDescent="0.3">
      <c r="A13" s="688"/>
      <c r="B13" s="689"/>
      <c r="C13" s="39">
        <v>4</v>
      </c>
      <c r="D13" s="231"/>
      <c r="E13" s="681"/>
      <c r="F13" s="681"/>
      <c r="G13" s="237"/>
      <c r="H13" s="681"/>
      <c r="I13" s="681"/>
      <c r="J13" s="28"/>
      <c r="K13" s="3"/>
      <c r="L13" s="3"/>
      <c r="M13" s="3"/>
      <c r="N13" s="3"/>
      <c r="O13" s="3"/>
      <c r="P13" s="3"/>
      <c r="Q13" s="3"/>
      <c r="R13" s="3"/>
      <c r="S13" s="3"/>
      <c r="T13" s="3"/>
      <c r="U13" s="28"/>
      <c r="V13" s="33"/>
      <c r="W13" s="33"/>
      <c r="X13" s="4"/>
      <c r="Y13" s="4"/>
      <c r="Z13" s="1"/>
      <c r="AA13" s="1"/>
      <c r="AB13"/>
      <c r="AC13"/>
      <c r="AD13"/>
      <c r="AE13"/>
      <c r="AF13"/>
    </row>
    <row r="14" spans="1:32" x14ac:dyDescent="0.3">
      <c r="A14" s="3"/>
      <c r="C14" s="28"/>
      <c r="D14" s="36"/>
      <c r="E14" s="30"/>
      <c r="F14" s="30"/>
      <c r="G14" s="26"/>
      <c r="H14" s="30"/>
      <c r="I14" s="30"/>
      <c r="J14" s="28"/>
      <c r="K14" s="3"/>
      <c r="L14" s="3"/>
      <c r="M14" s="3"/>
      <c r="N14" s="3"/>
      <c r="O14" s="3"/>
      <c r="P14" s="3"/>
      <c r="Q14" s="3"/>
      <c r="R14" s="3"/>
      <c r="S14" s="3"/>
      <c r="T14" s="3"/>
      <c r="U14" s="28"/>
      <c r="V14" s="33"/>
      <c r="W14" s="33"/>
      <c r="X14" s="4"/>
      <c r="Y14" s="4"/>
      <c r="Z14" s="1"/>
      <c r="AA14" s="1"/>
      <c r="AB14"/>
      <c r="AC14"/>
      <c r="AD14"/>
      <c r="AE14"/>
      <c r="AF14"/>
    </row>
    <row r="15" spans="1:32" x14ac:dyDescent="0.3">
      <c r="A15" s="660" t="s">
        <v>155</v>
      </c>
      <c r="B15" s="660"/>
      <c r="C15" s="660"/>
      <c r="D15" s="661" t="s">
        <v>553</v>
      </c>
      <c r="E15" s="661"/>
      <c r="F15" s="661"/>
      <c r="G15" s="661"/>
      <c r="H15" s="661"/>
      <c r="I15" s="661"/>
      <c r="J15" s="661"/>
      <c r="K15" s="661"/>
      <c r="L15" s="661"/>
      <c r="M15" s="661"/>
      <c r="N15" s="661"/>
      <c r="O15" s="124"/>
      <c r="P15" s="3"/>
      <c r="Q15" s="3"/>
      <c r="R15" s="3"/>
      <c r="S15" s="3"/>
      <c r="T15" s="3"/>
      <c r="U15" s="28"/>
      <c r="V15" s="33"/>
      <c r="W15" s="33"/>
      <c r="X15" s="4"/>
      <c r="Y15" s="4"/>
      <c r="Z15" s="1"/>
      <c r="AA15" s="1"/>
      <c r="AB15"/>
      <c r="AC15"/>
      <c r="AD15"/>
      <c r="AE15"/>
      <c r="AF15"/>
    </row>
    <row r="16" spans="1:32" x14ac:dyDescent="0.3">
      <c r="A16" s="655" t="s">
        <v>44</v>
      </c>
      <c r="B16" s="656" t="s">
        <v>151</v>
      </c>
      <c r="C16" s="338" t="s">
        <v>103</v>
      </c>
      <c r="D16" s="342" t="s">
        <v>68</v>
      </c>
      <c r="E16" s="343" t="s">
        <v>69</v>
      </c>
      <c r="F16" s="342" t="s">
        <v>70</v>
      </c>
      <c r="G16" s="342" t="s">
        <v>71</v>
      </c>
      <c r="H16" s="342" t="s">
        <v>72</v>
      </c>
      <c r="I16" s="366" t="s">
        <v>73</v>
      </c>
      <c r="J16" s="342" t="s">
        <v>74</v>
      </c>
      <c r="K16" s="342" t="s">
        <v>75</v>
      </c>
      <c r="L16" s="368" t="s">
        <v>76</v>
      </c>
      <c r="M16" s="366" t="s">
        <v>77</v>
      </c>
      <c r="N16" s="355" t="s">
        <v>78</v>
      </c>
      <c r="O16" s="124"/>
      <c r="P16" s="3"/>
      <c r="Q16" s="3"/>
      <c r="R16" s="3"/>
      <c r="S16" s="3"/>
      <c r="T16" s="3"/>
      <c r="U16" s="28"/>
      <c r="V16" s="33"/>
      <c r="W16" s="33"/>
      <c r="X16" s="4"/>
      <c r="Y16" s="4"/>
      <c r="Z16" s="1"/>
      <c r="AA16" s="1"/>
      <c r="AB16"/>
      <c r="AC16"/>
      <c r="AD16"/>
      <c r="AE16"/>
      <c r="AF16"/>
    </row>
    <row r="17" spans="1:32" x14ac:dyDescent="0.3">
      <c r="A17" s="655"/>
      <c r="B17" s="657"/>
      <c r="C17" s="342" t="s">
        <v>80</v>
      </c>
      <c r="D17" s="342" t="s">
        <v>81</v>
      </c>
      <c r="E17" s="342" t="s">
        <v>82</v>
      </c>
      <c r="F17" s="342" t="s">
        <v>83</v>
      </c>
      <c r="G17" s="342" t="s">
        <v>84</v>
      </c>
      <c r="H17" s="342" t="s">
        <v>85</v>
      </c>
      <c r="I17" s="342" t="s">
        <v>86</v>
      </c>
      <c r="J17" s="342" t="s">
        <v>87</v>
      </c>
      <c r="K17" s="342" t="s">
        <v>88</v>
      </c>
      <c r="L17" s="342" t="s">
        <v>89</v>
      </c>
      <c r="M17" s="342" t="s">
        <v>90</v>
      </c>
      <c r="N17" s="342" t="s">
        <v>91</v>
      </c>
      <c r="O17" s="367" t="s">
        <v>410</v>
      </c>
      <c r="P17" s="3"/>
      <c r="Q17" s="3"/>
      <c r="R17" s="3"/>
      <c r="S17" s="3"/>
      <c r="T17" s="3"/>
      <c r="U17" s="28"/>
      <c r="V17" s="33"/>
      <c r="W17" s="33"/>
      <c r="X17" s="4"/>
      <c r="Y17" s="4"/>
      <c r="Z17" s="1"/>
      <c r="AA17" s="1"/>
      <c r="AB17"/>
      <c r="AC17"/>
      <c r="AD17"/>
      <c r="AE17"/>
      <c r="AF17"/>
    </row>
    <row r="18" spans="1:32" x14ac:dyDescent="0.3">
      <c r="A18" s="138" t="str">
        <f>IF($A$10="","",(A10))</f>
        <v/>
      </c>
      <c r="B18" s="39">
        <v>1</v>
      </c>
      <c r="C18" s="56"/>
      <c r="D18" s="56"/>
      <c r="E18" s="56"/>
      <c r="F18" s="56"/>
      <c r="G18" s="56"/>
      <c r="H18" s="56"/>
      <c r="I18" s="56"/>
      <c r="J18" s="56"/>
      <c r="K18" s="56"/>
      <c r="L18" s="56"/>
      <c r="M18" s="56"/>
      <c r="N18" s="56"/>
      <c r="O18" s="93"/>
      <c r="P18" s="3"/>
      <c r="Q18" s="3"/>
      <c r="R18" s="3"/>
      <c r="S18" s="3"/>
      <c r="T18" s="3"/>
      <c r="U18" s="28"/>
      <c r="V18" s="33"/>
      <c r="W18" s="33"/>
      <c r="X18" s="4"/>
      <c r="Y18" s="4"/>
      <c r="Z18" s="1"/>
      <c r="AA18" s="1"/>
      <c r="AB18"/>
      <c r="AC18"/>
      <c r="AD18"/>
      <c r="AE18"/>
      <c r="AF18"/>
    </row>
    <row r="19" spans="1:32" x14ac:dyDescent="0.3">
      <c r="A19" s="138" t="str">
        <f>IF($A$11="","",(A11))</f>
        <v/>
      </c>
      <c r="B19" s="39">
        <v>2</v>
      </c>
      <c r="C19" s="56"/>
      <c r="D19" s="55"/>
      <c r="E19" s="55"/>
      <c r="F19" s="55"/>
      <c r="G19" s="55"/>
      <c r="H19" s="55"/>
      <c r="I19" s="55"/>
      <c r="J19" s="55"/>
      <c r="K19" s="55"/>
      <c r="L19" s="55"/>
      <c r="M19" s="55"/>
      <c r="N19" s="96"/>
      <c r="O19" s="93"/>
      <c r="P19" s="3"/>
      <c r="Q19" s="3"/>
      <c r="R19" s="3"/>
      <c r="S19" s="3"/>
      <c r="T19" s="3"/>
      <c r="U19" s="28"/>
      <c r="V19" s="33"/>
      <c r="W19" s="33"/>
      <c r="X19" s="4"/>
      <c r="Y19" s="4"/>
      <c r="Z19" s="1"/>
      <c r="AA19" s="1"/>
      <c r="AB19"/>
      <c r="AC19"/>
      <c r="AD19"/>
      <c r="AE19"/>
      <c r="AF19"/>
    </row>
    <row r="20" spans="1:32" x14ac:dyDescent="0.3">
      <c r="A20" s="138" t="str">
        <f>IF($A$12="","",(A12))</f>
        <v/>
      </c>
      <c r="B20" s="39">
        <v>3</v>
      </c>
      <c r="C20" s="116"/>
      <c r="D20" s="10"/>
      <c r="E20" s="10"/>
      <c r="F20" s="10"/>
      <c r="G20" s="10"/>
      <c r="H20" s="10"/>
      <c r="I20" s="55"/>
      <c r="J20" s="10"/>
      <c r="K20" s="10"/>
      <c r="L20" s="55"/>
      <c r="M20" s="55"/>
      <c r="N20" s="96"/>
      <c r="O20" s="22"/>
      <c r="P20" s="3"/>
      <c r="Q20" s="3"/>
      <c r="R20" s="3"/>
      <c r="S20" s="3"/>
      <c r="T20" s="3"/>
      <c r="U20" s="28"/>
      <c r="V20" s="33"/>
      <c r="W20" s="33"/>
      <c r="X20" s="4"/>
      <c r="Y20" s="4"/>
      <c r="Z20" s="1"/>
      <c r="AA20" s="1"/>
      <c r="AB20"/>
      <c r="AC20"/>
      <c r="AD20"/>
      <c r="AE20"/>
      <c r="AF20"/>
    </row>
    <row r="21" spans="1:32" x14ac:dyDescent="0.3">
      <c r="A21" s="138" t="str">
        <f>IF($A$13="","",(A13))</f>
        <v/>
      </c>
      <c r="B21" s="39">
        <v>4</v>
      </c>
      <c r="C21" s="116"/>
      <c r="D21" s="10"/>
      <c r="E21" s="10"/>
      <c r="F21" s="10"/>
      <c r="G21" s="10"/>
      <c r="H21" s="10"/>
      <c r="I21" s="55"/>
      <c r="J21" s="10"/>
      <c r="K21" s="10"/>
      <c r="L21" s="55"/>
      <c r="M21" s="55"/>
      <c r="N21" s="96"/>
      <c r="O21" s="22"/>
      <c r="P21" s="3"/>
      <c r="Q21" s="3"/>
      <c r="R21" s="3"/>
      <c r="S21" s="3"/>
      <c r="T21" s="3"/>
      <c r="U21" s="28"/>
      <c r="V21" s="33"/>
      <c r="W21" s="33"/>
      <c r="X21" s="4"/>
      <c r="Y21" s="4"/>
      <c r="Z21" s="1"/>
      <c r="AA21" s="1"/>
      <c r="AB21"/>
      <c r="AC21"/>
      <c r="AD21"/>
      <c r="AE21"/>
      <c r="AF21"/>
    </row>
    <row r="22" spans="1:32" x14ac:dyDescent="0.3">
      <c r="B22" s="4"/>
      <c r="C22" s="4"/>
      <c r="D22" s="4"/>
      <c r="E22" s="28"/>
      <c r="F22" s="28"/>
      <c r="G22" s="28"/>
      <c r="H22" s="23"/>
      <c r="I22" s="23"/>
      <c r="J22" s="23"/>
      <c r="K22" s="23"/>
      <c r="L22" s="28"/>
      <c r="M22" s="28"/>
      <c r="N22" s="28"/>
      <c r="O22" s="28"/>
      <c r="P22" s="28"/>
      <c r="Q22" s="28"/>
      <c r="R22" s="28"/>
      <c r="S22" s="28"/>
      <c r="T22" s="28"/>
      <c r="U22" s="28"/>
      <c r="V22" s="28"/>
      <c r="W22" s="28"/>
      <c r="X22" s="28"/>
      <c r="Y22" s="28"/>
      <c r="Z22" s="28"/>
      <c r="AA22" s="32"/>
      <c r="AB22" s="4"/>
      <c r="AC22" s="4"/>
      <c r="AD22" s="33"/>
      <c r="AE22" s="33"/>
      <c r="AF22" s="33"/>
    </row>
    <row r="23" spans="1:32" x14ac:dyDescent="0.3">
      <c r="B23" s="4"/>
      <c r="C23" s="4"/>
      <c r="D23" s="4"/>
      <c r="E23" s="28"/>
      <c r="F23" s="28"/>
      <c r="G23" s="28"/>
      <c r="H23" s="23"/>
      <c r="I23" s="23"/>
      <c r="J23" s="23"/>
      <c r="K23" s="23"/>
      <c r="L23" s="28"/>
      <c r="M23" s="28"/>
      <c r="N23" s="28"/>
      <c r="O23" s="28"/>
      <c r="P23" s="28"/>
      <c r="Q23" s="28"/>
      <c r="R23" s="28"/>
      <c r="S23" s="28"/>
      <c r="T23" s="28"/>
      <c r="U23" s="28"/>
      <c r="V23" s="28"/>
      <c r="W23" s="28"/>
      <c r="X23" s="28"/>
      <c r="Y23" s="28"/>
      <c r="Z23" s="28"/>
      <c r="AA23" s="32"/>
      <c r="AB23" s="4"/>
      <c r="AC23" s="4"/>
      <c r="AD23" s="33"/>
      <c r="AE23" s="33"/>
      <c r="AF23" s="33"/>
    </row>
    <row r="24" spans="1:32" x14ac:dyDescent="0.3">
      <c r="A24" s="565" t="s">
        <v>804</v>
      </c>
      <c r="B24" s="565"/>
      <c r="C24" s="565"/>
      <c r="D24" s="565"/>
      <c r="E24" s="565"/>
      <c r="F24" s="565"/>
      <c r="G24" s="4"/>
      <c r="H24" s="4"/>
      <c r="I24" s="4"/>
      <c r="J24" s="4"/>
      <c r="K24" s="4"/>
      <c r="L24" s="28"/>
      <c r="M24" s="28"/>
      <c r="N24" s="28"/>
      <c r="O24" s="28"/>
      <c r="P24" s="28"/>
      <c r="Q24" s="28"/>
      <c r="R24" s="28"/>
      <c r="S24" s="28"/>
      <c r="T24" s="28"/>
      <c r="U24" s="28"/>
      <c r="V24" s="28"/>
      <c r="W24" s="28"/>
      <c r="X24" s="28"/>
      <c r="Y24" s="28"/>
      <c r="Z24" s="28"/>
      <c r="AA24" s="32"/>
      <c r="AB24" s="4"/>
      <c r="AC24" s="4"/>
      <c r="AD24" s="33"/>
      <c r="AE24" s="33"/>
      <c r="AF24" s="33"/>
    </row>
    <row r="25" spans="1:32" x14ac:dyDescent="0.3">
      <c r="A25" s="3"/>
      <c r="C25" s="119" t="s">
        <v>826</v>
      </c>
      <c r="D25" s="252"/>
      <c r="E25" s="279"/>
      <c r="F25" s="251" t="s">
        <v>825</v>
      </c>
      <c r="G25" s="87"/>
      <c r="H25" s="28"/>
      <c r="I25" s="28"/>
      <c r="J25" s="28"/>
      <c r="K25" s="28"/>
      <c r="M25" s="28"/>
      <c r="N25" s="270"/>
      <c r="O25" s="119" t="s">
        <v>803</v>
      </c>
      <c r="P25" s="296"/>
      <c r="Q25" s="30"/>
      <c r="R25" s="35"/>
      <c r="S25" s="243" t="s">
        <v>902</v>
      </c>
      <c r="T25" s="259"/>
      <c r="U25" s="255"/>
      <c r="V25" s="30"/>
      <c r="W25" s="30"/>
      <c r="X25" s="30"/>
      <c r="Y25"/>
      <c r="Z25"/>
      <c r="AA25"/>
      <c r="AB25"/>
      <c r="AC25"/>
      <c r="AD25"/>
      <c r="AE25"/>
      <c r="AF25"/>
    </row>
    <row r="26" spans="1:32" ht="16.5" customHeight="1" x14ac:dyDescent="0.25">
      <c r="A26" s="281" t="s">
        <v>135</v>
      </c>
      <c r="B26" s="266" t="s">
        <v>143</v>
      </c>
      <c r="C26" s="272" t="s">
        <v>412</v>
      </c>
      <c r="D26" s="274" t="s">
        <v>1031</v>
      </c>
      <c r="E26" s="275" t="s">
        <v>157</v>
      </c>
      <c r="F26" s="269" t="s">
        <v>1029</v>
      </c>
      <c r="G26" s="269" t="s">
        <v>1030</v>
      </c>
      <c r="H26" s="266" t="s">
        <v>413</v>
      </c>
      <c r="I26" s="266" t="s">
        <v>842</v>
      </c>
      <c r="J26" s="266" t="s">
        <v>841</v>
      </c>
      <c r="K26" s="266" t="s">
        <v>843</v>
      </c>
      <c r="L26" s="266" t="s">
        <v>153</v>
      </c>
      <c r="M26" s="266" t="s">
        <v>844</v>
      </c>
      <c r="N26" s="266" t="s">
        <v>840</v>
      </c>
      <c r="O26" s="269" t="s">
        <v>159</v>
      </c>
      <c r="P26" s="266" t="s">
        <v>160</v>
      </c>
      <c r="Q26" s="257" t="s">
        <v>824</v>
      </c>
      <c r="R26" s="266" t="s">
        <v>137</v>
      </c>
      <c r="S26" s="266" t="s">
        <v>138</v>
      </c>
      <c r="T26" s="266" t="s">
        <v>161</v>
      </c>
      <c r="U26" s="283" t="s">
        <v>162</v>
      </c>
      <c r="V26" s="51"/>
      <c r="W26" s="51"/>
      <c r="X26"/>
      <c r="Y26"/>
      <c r="Z26"/>
      <c r="AA26"/>
      <c r="AB26"/>
      <c r="AC26"/>
      <c r="AD26"/>
      <c r="AE26"/>
      <c r="AF26"/>
    </row>
    <row r="27" spans="1:32" x14ac:dyDescent="0.3">
      <c r="A27" s="263">
        <f>1</f>
        <v>1</v>
      </c>
      <c r="B27" s="38"/>
      <c r="C27" s="38"/>
      <c r="D27" s="276"/>
      <c r="E27" s="277"/>
      <c r="F27" s="38"/>
      <c r="G27" s="38"/>
      <c r="H27" s="261">
        <f t="shared" ref="H27:H36" si="0">D27*0.5</f>
        <v>0</v>
      </c>
      <c r="I27" s="262">
        <f t="shared" ref="I27:I36" si="1">(PI()*(H27*H27)*C27)/1000</f>
        <v>0</v>
      </c>
      <c r="J27" s="262">
        <f t="shared" ref="J27:J36" si="2">((PI()/6)*(E27*F27*G27))/1000</f>
        <v>0</v>
      </c>
      <c r="K27" s="262">
        <f t="shared" ref="K27:K36" si="3">J27+I27</f>
        <v>0</v>
      </c>
      <c r="L27" s="261">
        <f t="shared" ref="L27" si="4">IF(B27=1,$D$10,IF(B27=2,$D$11,IF(B27=3,$D$12,IF(B27=4,$D$13,))))</f>
        <v>0</v>
      </c>
      <c r="M27" s="286">
        <f t="shared" ref="M27" si="5">IF(B27=1,$G$10,IF(B27=2,$G$11,IF(B27=3,$G$12,IF(B27=4,$G$13,))))</f>
        <v>0</v>
      </c>
      <c r="N27" s="262">
        <f t="shared" ref="N27:N36" si="6">(K27*M27)*L27</f>
        <v>0</v>
      </c>
      <c r="O27" s="286" t="e">
        <f t="shared" ref="O27:O36" si="7">(N27)*(1/$B$6)</f>
        <v>#DIV/0!</v>
      </c>
      <c r="P27" s="286" t="e">
        <f t="shared" ref="P27:P36" si="8">O27/1000</f>
        <v>#DIV/0!</v>
      </c>
      <c r="Q27" s="258"/>
      <c r="R27" s="286" t="str">
        <f t="shared" ref="R27:R36" si="9">IF(B27=1, P27,"")</f>
        <v/>
      </c>
      <c r="S27" s="286" t="str">
        <f t="shared" ref="S27:S36" si="10">IF(B27=2, P27,"")</f>
        <v/>
      </c>
      <c r="T27" s="286" t="str">
        <f t="shared" ref="T27:T36" si="11">IF(B27=3, P27,"")</f>
        <v/>
      </c>
      <c r="U27" s="287" t="str">
        <f t="shared" ref="U27:U36" si="12">IF(B27=4, P27,"")</f>
        <v/>
      </c>
      <c r="V27" s="26"/>
      <c r="W27" s="26"/>
      <c r="X27"/>
      <c r="Z27" s="27"/>
      <c r="AA27" s="3"/>
      <c r="AC27" s="11"/>
    </row>
    <row r="28" spans="1:32" x14ac:dyDescent="0.3">
      <c r="A28" s="263">
        <f>1</f>
        <v>1</v>
      </c>
      <c r="B28" s="38"/>
      <c r="C28" s="38"/>
      <c r="D28" s="276"/>
      <c r="E28" s="277"/>
      <c r="F28" s="38"/>
      <c r="G28" s="38"/>
      <c r="H28" s="261">
        <f t="shared" si="0"/>
        <v>0</v>
      </c>
      <c r="I28" s="262">
        <f t="shared" si="1"/>
        <v>0</v>
      </c>
      <c r="J28" s="262">
        <f t="shared" si="2"/>
        <v>0</v>
      </c>
      <c r="K28" s="262">
        <f t="shared" si="3"/>
        <v>0</v>
      </c>
      <c r="L28" s="261">
        <f t="shared" ref="L28:L36" si="13">IF(B28=1,$D$10,IF(B28=2,$D$11,IF(B28=3,$D$12,IF(B28=4,$D$13,))))</f>
        <v>0</v>
      </c>
      <c r="M28" s="286">
        <f t="shared" ref="M28:M36" si="14">IF(B28=1,$G$10,IF(B28=2,$G$11,IF(B28=3,$G$12,IF(B28=4,$G$13,))))</f>
        <v>0</v>
      </c>
      <c r="N28" s="262">
        <f t="shared" si="6"/>
        <v>0</v>
      </c>
      <c r="O28" s="555" t="e">
        <f t="shared" si="7"/>
        <v>#DIV/0!</v>
      </c>
      <c r="P28" s="555" t="e">
        <f t="shared" si="8"/>
        <v>#DIV/0!</v>
      </c>
      <c r="Q28" s="258"/>
      <c r="R28" s="286" t="str">
        <f t="shared" si="9"/>
        <v/>
      </c>
      <c r="S28" s="286" t="str">
        <f t="shared" si="10"/>
        <v/>
      </c>
      <c r="T28" s="286" t="str">
        <f t="shared" si="11"/>
        <v/>
      </c>
      <c r="U28" s="287" t="str">
        <f t="shared" si="12"/>
        <v/>
      </c>
      <c r="V28" s="26"/>
      <c r="W28" s="26"/>
      <c r="X28" s="26"/>
    </row>
    <row r="29" spans="1:32" x14ac:dyDescent="0.3">
      <c r="A29" s="263">
        <f>1</f>
        <v>1</v>
      </c>
      <c r="B29" s="38"/>
      <c r="C29" s="38"/>
      <c r="D29" s="276"/>
      <c r="E29" s="277"/>
      <c r="F29" s="38"/>
      <c r="G29" s="38"/>
      <c r="H29" s="261">
        <f t="shared" si="0"/>
        <v>0</v>
      </c>
      <c r="I29" s="262">
        <f t="shared" si="1"/>
        <v>0</v>
      </c>
      <c r="J29" s="262">
        <f t="shared" si="2"/>
        <v>0</v>
      </c>
      <c r="K29" s="262">
        <f t="shared" si="3"/>
        <v>0</v>
      </c>
      <c r="L29" s="261">
        <f t="shared" si="13"/>
        <v>0</v>
      </c>
      <c r="M29" s="286">
        <f t="shared" si="14"/>
        <v>0</v>
      </c>
      <c r="N29" s="262">
        <f t="shared" si="6"/>
        <v>0</v>
      </c>
      <c r="O29" s="555" t="e">
        <f t="shared" si="7"/>
        <v>#DIV/0!</v>
      </c>
      <c r="P29" s="555" t="e">
        <f t="shared" si="8"/>
        <v>#DIV/0!</v>
      </c>
      <c r="Q29" s="258"/>
      <c r="R29" s="286" t="str">
        <f t="shared" si="9"/>
        <v/>
      </c>
      <c r="S29" s="286" t="str">
        <f t="shared" si="10"/>
        <v/>
      </c>
      <c r="T29" s="286" t="str">
        <f t="shared" si="11"/>
        <v/>
      </c>
      <c r="U29" s="287" t="str">
        <f t="shared" si="12"/>
        <v/>
      </c>
      <c r="V29" s="26"/>
      <c r="W29" s="26"/>
      <c r="X29" s="26"/>
    </row>
    <row r="30" spans="1:32" x14ac:dyDescent="0.3">
      <c r="A30" s="263">
        <f>1</f>
        <v>1</v>
      </c>
      <c r="B30" s="38"/>
      <c r="C30" s="38"/>
      <c r="D30" s="276"/>
      <c r="E30" s="277"/>
      <c r="F30" s="38"/>
      <c r="G30" s="38"/>
      <c r="H30" s="261">
        <f t="shared" si="0"/>
        <v>0</v>
      </c>
      <c r="I30" s="262">
        <f t="shared" si="1"/>
        <v>0</v>
      </c>
      <c r="J30" s="262">
        <f t="shared" si="2"/>
        <v>0</v>
      </c>
      <c r="K30" s="262">
        <f t="shared" si="3"/>
        <v>0</v>
      </c>
      <c r="L30" s="261">
        <f t="shared" si="13"/>
        <v>0</v>
      </c>
      <c r="M30" s="286">
        <f t="shared" si="14"/>
        <v>0</v>
      </c>
      <c r="N30" s="262">
        <f t="shared" si="6"/>
        <v>0</v>
      </c>
      <c r="O30" s="555" t="e">
        <f t="shared" si="7"/>
        <v>#DIV/0!</v>
      </c>
      <c r="P30" s="555" t="e">
        <f t="shared" si="8"/>
        <v>#DIV/0!</v>
      </c>
      <c r="Q30" s="258"/>
      <c r="R30" s="286" t="str">
        <f t="shared" si="9"/>
        <v/>
      </c>
      <c r="S30" s="286" t="str">
        <f t="shared" si="10"/>
        <v/>
      </c>
      <c r="T30" s="286" t="str">
        <f t="shared" si="11"/>
        <v/>
      </c>
      <c r="U30" s="287" t="str">
        <f t="shared" si="12"/>
        <v/>
      </c>
      <c r="Y30" s="26"/>
      <c r="Z30" s="26"/>
      <c r="AA30" s="26"/>
      <c r="AB30" s="12"/>
      <c r="AC30" s="12"/>
      <c r="AD30" s="27"/>
      <c r="AE30" s="3"/>
      <c r="AF30" s="3"/>
    </row>
    <row r="31" spans="1:32" x14ac:dyDescent="0.3">
      <c r="A31" s="263">
        <f>1</f>
        <v>1</v>
      </c>
      <c r="B31" s="38"/>
      <c r="C31" s="38"/>
      <c r="D31" s="276"/>
      <c r="E31" s="277"/>
      <c r="F31" s="38"/>
      <c r="G31" s="38"/>
      <c r="H31" s="261">
        <f t="shared" si="0"/>
        <v>0</v>
      </c>
      <c r="I31" s="262">
        <f t="shared" si="1"/>
        <v>0</v>
      </c>
      <c r="J31" s="262">
        <f t="shared" si="2"/>
        <v>0</v>
      </c>
      <c r="K31" s="262">
        <f t="shared" si="3"/>
        <v>0</v>
      </c>
      <c r="L31" s="261">
        <f t="shared" si="13"/>
        <v>0</v>
      </c>
      <c r="M31" s="286">
        <f t="shared" si="14"/>
        <v>0</v>
      </c>
      <c r="N31" s="262">
        <f t="shared" si="6"/>
        <v>0</v>
      </c>
      <c r="O31" s="555" t="e">
        <f t="shared" si="7"/>
        <v>#DIV/0!</v>
      </c>
      <c r="P31" s="555" t="e">
        <f t="shared" si="8"/>
        <v>#DIV/0!</v>
      </c>
      <c r="Q31" s="258"/>
      <c r="R31" s="286" t="str">
        <f t="shared" si="9"/>
        <v/>
      </c>
      <c r="S31" s="286" t="str">
        <f t="shared" si="10"/>
        <v/>
      </c>
      <c r="T31" s="286" t="str">
        <f t="shared" si="11"/>
        <v/>
      </c>
      <c r="U31" s="287" t="str">
        <f t="shared" si="12"/>
        <v/>
      </c>
      <c r="Y31" s="26"/>
      <c r="Z31" s="26"/>
      <c r="AA31" s="26"/>
      <c r="AB31" s="12"/>
      <c r="AC31" s="12"/>
      <c r="AD31" s="27"/>
      <c r="AE31" s="3"/>
      <c r="AF31" s="3"/>
    </row>
    <row r="32" spans="1:32" x14ac:dyDescent="0.3">
      <c r="A32" s="263">
        <f>1</f>
        <v>1</v>
      </c>
      <c r="B32" s="38"/>
      <c r="C32" s="38"/>
      <c r="D32" s="276"/>
      <c r="E32" s="277"/>
      <c r="F32" s="38"/>
      <c r="G32" s="38"/>
      <c r="H32" s="261">
        <f t="shared" si="0"/>
        <v>0</v>
      </c>
      <c r="I32" s="262">
        <f t="shared" si="1"/>
        <v>0</v>
      </c>
      <c r="J32" s="262">
        <f t="shared" si="2"/>
        <v>0</v>
      </c>
      <c r="K32" s="262">
        <f t="shared" si="3"/>
        <v>0</v>
      </c>
      <c r="L32" s="261">
        <f t="shared" si="13"/>
        <v>0</v>
      </c>
      <c r="M32" s="286">
        <f t="shared" si="14"/>
        <v>0</v>
      </c>
      <c r="N32" s="262">
        <f t="shared" si="6"/>
        <v>0</v>
      </c>
      <c r="O32" s="555" t="e">
        <f t="shared" si="7"/>
        <v>#DIV/0!</v>
      </c>
      <c r="P32" s="555" t="e">
        <f t="shared" si="8"/>
        <v>#DIV/0!</v>
      </c>
      <c r="Q32" s="258"/>
      <c r="R32" s="286" t="str">
        <f t="shared" si="9"/>
        <v/>
      </c>
      <c r="S32" s="286" t="str">
        <f t="shared" si="10"/>
        <v/>
      </c>
      <c r="T32" s="286" t="str">
        <f t="shared" si="11"/>
        <v/>
      </c>
      <c r="U32" s="287" t="str">
        <f t="shared" si="12"/>
        <v/>
      </c>
      <c r="V32" s="26"/>
      <c r="Y32" s="27"/>
      <c r="Z32" s="3"/>
      <c r="AA32" s="3"/>
      <c r="AB32" s="11"/>
      <c r="AC32" s="11"/>
      <c r="AF32" s="3"/>
    </row>
    <row r="33" spans="1:21" x14ac:dyDescent="0.3">
      <c r="A33" s="263">
        <f>1</f>
        <v>1</v>
      </c>
      <c r="B33" s="38"/>
      <c r="C33" s="38"/>
      <c r="D33" s="276"/>
      <c r="E33" s="277"/>
      <c r="F33" s="38"/>
      <c r="G33" s="38"/>
      <c r="H33" s="261">
        <f t="shared" si="0"/>
        <v>0</v>
      </c>
      <c r="I33" s="262">
        <f t="shared" si="1"/>
        <v>0</v>
      </c>
      <c r="J33" s="262">
        <f t="shared" si="2"/>
        <v>0</v>
      </c>
      <c r="K33" s="262">
        <f t="shared" si="3"/>
        <v>0</v>
      </c>
      <c r="L33" s="261">
        <f t="shared" si="13"/>
        <v>0</v>
      </c>
      <c r="M33" s="286">
        <f t="shared" si="14"/>
        <v>0</v>
      </c>
      <c r="N33" s="262">
        <f t="shared" si="6"/>
        <v>0</v>
      </c>
      <c r="O33" s="555" t="e">
        <f t="shared" si="7"/>
        <v>#DIV/0!</v>
      </c>
      <c r="P33" s="555" t="e">
        <f t="shared" si="8"/>
        <v>#DIV/0!</v>
      </c>
      <c r="Q33" s="258"/>
      <c r="R33" s="286" t="str">
        <f t="shared" si="9"/>
        <v/>
      </c>
      <c r="S33" s="286" t="str">
        <f t="shared" si="10"/>
        <v/>
      </c>
      <c r="T33" s="286" t="str">
        <f t="shared" si="11"/>
        <v/>
      </c>
      <c r="U33" s="287" t="str">
        <f t="shared" si="12"/>
        <v/>
      </c>
    </row>
    <row r="34" spans="1:21" x14ac:dyDescent="0.3">
      <c r="A34" s="263">
        <f>1</f>
        <v>1</v>
      </c>
      <c r="B34" s="38"/>
      <c r="C34" s="38"/>
      <c r="D34" s="276"/>
      <c r="E34" s="277"/>
      <c r="F34" s="38"/>
      <c r="G34" s="38"/>
      <c r="H34" s="261">
        <f t="shared" si="0"/>
        <v>0</v>
      </c>
      <c r="I34" s="262">
        <f t="shared" si="1"/>
        <v>0</v>
      </c>
      <c r="J34" s="262">
        <f t="shared" si="2"/>
        <v>0</v>
      </c>
      <c r="K34" s="262">
        <f t="shared" si="3"/>
        <v>0</v>
      </c>
      <c r="L34" s="261">
        <f t="shared" si="13"/>
        <v>0</v>
      </c>
      <c r="M34" s="286">
        <f t="shared" si="14"/>
        <v>0</v>
      </c>
      <c r="N34" s="262">
        <f t="shared" si="6"/>
        <v>0</v>
      </c>
      <c r="O34" s="555" t="e">
        <f t="shared" si="7"/>
        <v>#DIV/0!</v>
      </c>
      <c r="P34" s="555" t="e">
        <f t="shared" si="8"/>
        <v>#DIV/0!</v>
      </c>
      <c r="Q34" s="258"/>
      <c r="R34" s="286" t="str">
        <f t="shared" si="9"/>
        <v/>
      </c>
      <c r="S34" s="286" t="str">
        <f t="shared" si="10"/>
        <v/>
      </c>
      <c r="T34" s="286" t="str">
        <f t="shared" si="11"/>
        <v/>
      </c>
      <c r="U34" s="287" t="str">
        <f t="shared" si="12"/>
        <v/>
      </c>
    </row>
    <row r="35" spans="1:21" x14ac:dyDescent="0.3">
      <c r="A35" s="263">
        <f>1</f>
        <v>1</v>
      </c>
      <c r="B35" s="38"/>
      <c r="C35" s="38"/>
      <c r="D35" s="276"/>
      <c r="E35" s="277"/>
      <c r="F35" s="38"/>
      <c r="G35" s="38"/>
      <c r="H35" s="261">
        <f t="shared" si="0"/>
        <v>0</v>
      </c>
      <c r="I35" s="262">
        <f t="shared" si="1"/>
        <v>0</v>
      </c>
      <c r="J35" s="262">
        <f t="shared" si="2"/>
        <v>0</v>
      </c>
      <c r="K35" s="262">
        <f t="shared" si="3"/>
        <v>0</v>
      </c>
      <c r="L35" s="261">
        <f t="shared" si="13"/>
        <v>0</v>
      </c>
      <c r="M35" s="286">
        <f t="shared" si="14"/>
        <v>0</v>
      </c>
      <c r="N35" s="262">
        <f t="shared" si="6"/>
        <v>0</v>
      </c>
      <c r="O35" s="555" t="e">
        <f t="shared" si="7"/>
        <v>#DIV/0!</v>
      </c>
      <c r="P35" s="555" t="e">
        <f t="shared" si="8"/>
        <v>#DIV/0!</v>
      </c>
      <c r="Q35" s="258"/>
      <c r="R35" s="286" t="str">
        <f t="shared" si="9"/>
        <v/>
      </c>
      <c r="S35" s="286" t="str">
        <f t="shared" si="10"/>
        <v/>
      </c>
      <c r="T35" s="286" t="str">
        <f t="shared" si="11"/>
        <v/>
      </c>
      <c r="U35" s="287" t="str">
        <f t="shared" si="12"/>
        <v/>
      </c>
    </row>
    <row r="36" spans="1:21" x14ac:dyDescent="0.3">
      <c r="A36" s="263">
        <f>1</f>
        <v>1</v>
      </c>
      <c r="B36" s="38"/>
      <c r="C36" s="38"/>
      <c r="D36" s="276"/>
      <c r="E36" s="277"/>
      <c r="F36" s="38"/>
      <c r="G36" s="38"/>
      <c r="H36" s="261">
        <f t="shared" si="0"/>
        <v>0</v>
      </c>
      <c r="I36" s="262">
        <f t="shared" si="1"/>
        <v>0</v>
      </c>
      <c r="J36" s="262">
        <f t="shared" si="2"/>
        <v>0</v>
      </c>
      <c r="K36" s="262">
        <f t="shared" si="3"/>
        <v>0</v>
      </c>
      <c r="L36" s="261">
        <f t="shared" si="13"/>
        <v>0</v>
      </c>
      <c r="M36" s="286">
        <f t="shared" si="14"/>
        <v>0</v>
      </c>
      <c r="N36" s="262">
        <f t="shared" si="6"/>
        <v>0</v>
      </c>
      <c r="O36" s="555" t="e">
        <f t="shared" si="7"/>
        <v>#DIV/0!</v>
      </c>
      <c r="P36" s="555" t="e">
        <f t="shared" si="8"/>
        <v>#DIV/0!</v>
      </c>
      <c r="Q36" s="258"/>
      <c r="R36" s="286" t="str">
        <f t="shared" si="9"/>
        <v/>
      </c>
      <c r="S36" s="286" t="str">
        <f t="shared" si="10"/>
        <v/>
      </c>
      <c r="T36" s="286" t="str">
        <f t="shared" si="11"/>
        <v/>
      </c>
      <c r="U36" s="287" t="str">
        <f t="shared" si="12"/>
        <v/>
      </c>
    </row>
    <row r="37" spans="1:21" x14ac:dyDescent="0.3">
      <c r="B37" s="4" t="s">
        <v>139</v>
      </c>
      <c r="C37" s="4"/>
      <c r="D37" s="4"/>
      <c r="E37" s="253">
        <f>COUNT(B27:B36)</f>
        <v>0</v>
      </c>
      <c r="F37" s="28"/>
      <c r="G37" s="28"/>
      <c r="H37" s="28"/>
      <c r="I37" s="28"/>
      <c r="J37" s="28"/>
      <c r="K37" s="28"/>
      <c r="O37" s="285" t="e">
        <f>SUM(O27:O36)</f>
        <v>#DIV/0!</v>
      </c>
      <c r="P37" s="285" t="e">
        <f>SUM(P27:P36)</f>
        <v>#DIV/0!</v>
      </c>
      <c r="Q37" s="26"/>
      <c r="R37" s="285">
        <f>SUM(R27:R36)</f>
        <v>0</v>
      </c>
      <c r="S37" s="284">
        <f>SUM(S27:S36)</f>
        <v>0</v>
      </c>
      <c r="T37" s="284">
        <f>SUM(T27:T36)</f>
        <v>0</v>
      </c>
      <c r="U37" s="284">
        <f>SUM(U27:U36)</f>
        <v>0</v>
      </c>
    </row>
    <row r="38" spans="1:21" x14ac:dyDescent="0.3">
      <c r="R38" s="51"/>
      <c r="S38" s="51"/>
      <c r="T38" s="51"/>
      <c r="U38" s="51"/>
    </row>
    <row r="39" spans="1:21" x14ac:dyDescent="0.3">
      <c r="R39" s="51"/>
      <c r="S39" s="51"/>
      <c r="T39" s="51"/>
      <c r="U39" s="51"/>
    </row>
    <row r="40" spans="1:21" x14ac:dyDescent="0.3">
      <c r="R40" s="51"/>
      <c r="S40" s="51"/>
      <c r="T40" s="51"/>
      <c r="U40" s="51"/>
    </row>
    <row r="41" spans="1:21" x14ac:dyDescent="0.3">
      <c r="A41" s="3"/>
      <c r="C41" s="119" t="s">
        <v>826</v>
      </c>
      <c r="D41" s="252"/>
      <c r="E41" s="279"/>
      <c r="F41" s="251" t="s">
        <v>825</v>
      </c>
      <c r="G41" s="87"/>
      <c r="H41" s="28"/>
      <c r="I41" s="28"/>
      <c r="J41" s="28"/>
      <c r="K41" s="28"/>
      <c r="M41" s="28"/>
      <c r="N41" s="270"/>
      <c r="O41" s="119" t="s">
        <v>803</v>
      </c>
      <c r="P41" s="296"/>
      <c r="Q41" s="30"/>
      <c r="R41" s="35"/>
      <c r="S41" s="243" t="s">
        <v>902</v>
      </c>
      <c r="T41" s="259"/>
      <c r="U41" s="255"/>
    </row>
    <row r="42" spans="1:21" ht="18.75" x14ac:dyDescent="0.3">
      <c r="A42" s="281" t="s">
        <v>135</v>
      </c>
      <c r="B42" s="266" t="s">
        <v>143</v>
      </c>
      <c r="C42" s="272" t="s">
        <v>412</v>
      </c>
      <c r="D42" s="274" t="s">
        <v>1031</v>
      </c>
      <c r="E42" s="275" t="s">
        <v>157</v>
      </c>
      <c r="F42" s="269" t="s">
        <v>1029</v>
      </c>
      <c r="G42" s="269" t="s">
        <v>1030</v>
      </c>
      <c r="H42" s="266" t="s">
        <v>413</v>
      </c>
      <c r="I42" s="266" t="s">
        <v>842</v>
      </c>
      <c r="J42" s="266" t="s">
        <v>841</v>
      </c>
      <c r="K42" s="266" t="s">
        <v>843</v>
      </c>
      <c r="L42" s="266" t="s">
        <v>153</v>
      </c>
      <c r="M42" s="266" t="s">
        <v>844</v>
      </c>
      <c r="N42" s="266" t="s">
        <v>840</v>
      </c>
      <c r="O42" s="269" t="s">
        <v>159</v>
      </c>
      <c r="P42" s="266" t="s">
        <v>160</v>
      </c>
      <c r="Q42" s="257" t="s">
        <v>824</v>
      </c>
      <c r="R42" s="266" t="s">
        <v>137</v>
      </c>
      <c r="S42" s="266" t="s">
        <v>138</v>
      </c>
      <c r="T42" s="266" t="s">
        <v>161</v>
      </c>
      <c r="U42" s="283" t="s">
        <v>162</v>
      </c>
    </row>
    <row r="43" spans="1:21" x14ac:dyDescent="0.3">
      <c r="A43" s="263">
        <f>2</f>
        <v>2</v>
      </c>
      <c r="B43" s="38"/>
      <c r="C43" s="38"/>
      <c r="D43" s="276"/>
      <c r="E43" s="277"/>
      <c r="F43" s="38"/>
      <c r="G43" s="38"/>
      <c r="H43" s="261">
        <f t="shared" ref="H43:H52" si="15">D43*0.5</f>
        <v>0</v>
      </c>
      <c r="I43" s="262">
        <f t="shared" ref="I43:I52" si="16">(PI()*(H43*H43)*C43)/1000</f>
        <v>0</v>
      </c>
      <c r="J43" s="262">
        <f t="shared" ref="J43:J52" si="17">((PI()/6)*(E43*F43*G43))/1000</f>
        <v>0</v>
      </c>
      <c r="K43" s="262">
        <f t="shared" ref="K43:K52" si="18">J43+I43</f>
        <v>0</v>
      </c>
      <c r="L43" s="261">
        <f t="shared" ref="L43" si="19">IF(B43=1,$D$10,IF(B43=2,$D$11,IF(B43=3,$D$12,IF(B43=4,$D$13,))))</f>
        <v>0</v>
      </c>
      <c r="M43" s="286">
        <f t="shared" ref="M43" si="20">IF(B43=1,$G$10,IF(B43=2,$G$11,IF(B43=3,$G$12,IF(B43=4,$G$13,))))</f>
        <v>0</v>
      </c>
      <c r="N43" s="262">
        <f t="shared" ref="N43:N52" si="21">(K43*M43)*L43</f>
        <v>0</v>
      </c>
      <c r="O43" s="286" t="e">
        <f t="shared" ref="O43:O52" si="22">(N43)*(1/$B$6)</f>
        <v>#DIV/0!</v>
      </c>
      <c r="P43" s="286" t="e">
        <f t="shared" ref="P43:P52" si="23">O43/1000</f>
        <v>#DIV/0!</v>
      </c>
      <c r="Q43" s="258"/>
      <c r="R43" s="286" t="str">
        <f t="shared" ref="R43:R52" si="24">IF(B43=1, P43,"")</f>
        <v/>
      </c>
      <c r="S43" s="286" t="str">
        <f t="shared" ref="S43:S52" si="25">IF(B43=2, P43,"")</f>
        <v/>
      </c>
      <c r="T43" s="286" t="str">
        <f t="shared" ref="T43:T52" si="26">IF(B43=3, P43,"")</f>
        <v/>
      </c>
      <c r="U43" s="287" t="str">
        <f t="shared" ref="U43:U52" si="27">IF(B43=4, P43,"")</f>
        <v/>
      </c>
    </row>
    <row r="44" spans="1:21" x14ac:dyDescent="0.3">
      <c r="A44" s="263">
        <f>2</f>
        <v>2</v>
      </c>
      <c r="B44" s="38"/>
      <c r="C44" s="38"/>
      <c r="D44" s="276"/>
      <c r="E44" s="277"/>
      <c r="F44" s="38"/>
      <c r="G44" s="38"/>
      <c r="H44" s="261">
        <f t="shared" si="15"/>
        <v>0</v>
      </c>
      <c r="I44" s="262">
        <f t="shared" si="16"/>
        <v>0</v>
      </c>
      <c r="J44" s="262">
        <f t="shared" si="17"/>
        <v>0</v>
      </c>
      <c r="K44" s="262">
        <f t="shared" si="18"/>
        <v>0</v>
      </c>
      <c r="L44" s="261">
        <f t="shared" ref="L44:L52" si="28">IF(B44=1,$D$10,IF(B44=2,$D$11,IF(B44=3,$D$12,IF(B44=4,$D$13,))))</f>
        <v>0</v>
      </c>
      <c r="M44" s="286">
        <f t="shared" ref="M44:M52" si="29">IF(B44=1,$G$10,IF(B44=2,$G$11,IF(B44=3,$G$12,IF(B44=4,$G$13,))))</f>
        <v>0</v>
      </c>
      <c r="N44" s="262">
        <f t="shared" si="21"/>
        <v>0</v>
      </c>
      <c r="O44" s="286" t="e">
        <f t="shared" si="22"/>
        <v>#DIV/0!</v>
      </c>
      <c r="P44" s="286" t="e">
        <f t="shared" si="23"/>
        <v>#DIV/0!</v>
      </c>
      <c r="Q44" s="258"/>
      <c r="R44" s="286" t="str">
        <f t="shared" si="24"/>
        <v/>
      </c>
      <c r="S44" s="286" t="str">
        <f t="shared" si="25"/>
        <v/>
      </c>
      <c r="T44" s="286" t="str">
        <f t="shared" si="26"/>
        <v/>
      </c>
      <c r="U44" s="287" t="str">
        <f t="shared" si="27"/>
        <v/>
      </c>
    </row>
    <row r="45" spans="1:21" x14ac:dyDescent="0.3">
      <c r="A45" s="263">
        <f>2</f>
        <v>2</v>
      </c>
      <c r="B45" s="38"/>
      <c r="C45" s="38"/>
      <c r="D45" s="276"/>
      <c r="E45" s="277"/>
      <c r="F45" s="38"/>
      <c r="G45" s="38"/>
      <c r="H45" s="261">
        <f t="shared" si="15"/>
        <v>0</v>
      </c>
      <c r="I45" s="262">
        <f t="shared" si="16"/>
        <v>0</v>
      </c>
      <c r="J45" s="262">
        <f t="shared" si="17"/>
        <v>0</v>
      </c>
      <c r="K45" s="262">
        <f t="shared" si="18"/>
        <v>0</v>
      </c>
      <c r="L45" s="261">
        <f t="shared" si="28"/>
        <v>0</v>
      </c>
      <c r="M45" s="286">
        <f t="shared" si="29"/>
        <v>0</v>
      </c>
      <c r="N45" s="262">
        <f t="shared" si="21"/>
        <v>0</v>
      </c>
      <c r="O45" s="286" t="e">
        <f t="shared" si="22"/>
        <v>#DIV/0!</v>
      </c>
      <c r="P45" s="286" t="e">
        <f t="shared" si="23"/>
        <v>#DIV/0!</v>
      </c>
      <c r="Q45" s="258"/>
      <c r="R45" s="286" t="str">
        <f t="shared" si="24"/>
        <v/>
      </c>
      <c r="S45" s="286" t="str">
        <f t="shared" si="25"/>
        <v/>
      </c>
      <c r="T45" s="286" t="str">
        <f t="shared" si="26"/>
        <v/>
      </c>
      <c r="U45" s="287" t="str">
        <f t="shared" si="27"/>
        <v/>
      </c>
    </row>
    <row r="46" spans="1:21" x14ac:dyDescent="0.3">
      <c r="A46" s="263">
        <f>2</f>
        <v>2</v>
      </c>
      <c r="B46" s="38"/>
      <c r="C46" s="38"/>
      <c r="D46" s="276"/>
      <c r="E46" s="277"/>
      <c r="F46" s="38"/>
      <c r="G46" s="38"/>
      <c r="H46" s="261">
        <f t="shared" si="15"/>
        <v>0</v>
      </c>
      <c r="I46" s="262">
        <f t="shared" si="16"/>
        <v>0</v>
      </c>
      <c r="J46" s="262">
        <f t="shared" si="17"/>
        <v>0</v>
      </c>
      <c r="K46" s="262">
        <f t="shared" si="18"/>
        <v>0</v>
      </c>
      <c r="L46" s="261">
        <f t="shared" si="28"/>
        <v>0</v>
      </c>
      <c r="M46" s="286">
        <f t="shared" si="29"/>
        <v>0</v>
      </c>
      <c r="N46" s="262">
        <f t="shared" si="21"/>
        <v>0</v>
      </c>
      <c r="O46" s="286" t="e">
        <f t="shared" si="22"/>
        <v>#DIV/0!</v>
      </c>
      <c r="P46" s="286" t="e">
        <f t="shared" si="23"/>
        <v>#DIV/0!</v>
      </c>
      <c r="Q46" s="258"/>
      <c r="R46" s="286" t="str">
        <f t="shared" si="24"/>
        <v/>
      </c>
      <c r="S46" s="286" t="str">
        <f t="shared" si="25"/>
        <v/>
      </c>
      <c r="T46" s="286" t="str">
        <f t="shared" si="26"/>
        <v/>
      </c>
      <c r="U46" s="287" t="str">
        <f t="shared" si="27"/>
        <v/>
      </c>
    </row>
    <row r="47" spans="1:21" x14ac:dyDescent="0.3">
      <c r="A47" s="263">
        <f>2</f>
        <v>2</v>
      </c>
      <c r="B47" s="38"/>
      <c r="C47" s="38"/>
      <c r="D47" s="276"/>
      <c r="E47" s="277"/>
      <c r="F47" s="38"/>
      <c r="G47" s="38"/>
      <c r="H47" s="261">
        <f t="shared" si="15"/>
        <v>0</v>
      </c>
      <c r="I47" s="262">
        <f t="shared" si="16"/>
        <v>0</v>
      </c>
      <c r="J47" s="262">
        <f t="shared" si="17"/>
        <v>0</v>
      </c>
      <c r="K47" s="262">
        <f t="shared" si="18"/>
        <v>0</v>
      </c>
      <c r="L47" s="261">
        <f t="shared" si="28"/>
        <v>0</v>
      </c>
      <c r="M47" s="286">
        <f t="shared" si="29"/>
        <v>0</v>
      </c>
      <c r="N47" s="262">
        <f t="shared" si="21"/>
        <v>0</v>
      </c>
      <c r="O47" s="286" t="e">
        <f t="shared" si="22"/>
        <v>#DIV/0!</v>
      </c>
      <c r="P47" s="286" t="e">
        <f t="shared" si="23"/>
        <v>#DIV/0!</v>
      </c>
      <c r="Q47" s="258"/>
      <c r="R47" s="286" t="str">
        <f t="shared" si="24"/>
        <v/>
      </c>
      <c r="S47" s="286" t="str">
        <f t="shared" si="25"/>
        <v/>
      </c>
      <c r="T47" s="286" t="str">
        <f t="shared" si="26"/>
        <v/>
      </c>
      <c r="U47" s="287" t="str">
        <f t="shared" si="27"/>
        <v/>
      </c>
    </row>
    <row r="48" spans="1:21" x14ac:dyDescent="0.3">
      <c r="A48" s="263">
        <f>2</f>
        <v>2</v>
      </c>
      <c r="B48" s="38"/>
      <c r="C48" s="38"/>
      <c r="D48" s="276"/>
      <c r="E48" s="277"/>
      <c r="F48" s="38"/>
      <c r="G48" s="38"/>
      <c r="H48" s="261">
        <f t="shared" si="15"/>
        <v>0</v>
      </c>
      <c r="I48" s="262">
        <f t="shared" si="16"/>
        <v>0</v>
      </c>
      <c r="J48" s="262">
        <f t="shared" si="17"/>
        <v>0</v>
      </c>
      <c r="K48" s="262">
        <f t="shared" si="18"/>
        <v>0</v>
      </c>
      <c r="L48" s="261">
        <f t="shared" si="28"/>
        <v>0</v>
      </c>
      <c r="M48" s="286">
        <f t="shared" si="29"/>
        <v>0</v>
      </c>
      <c r="N48" s="262">
        <f t="shared" si="21"/>
        <v>0</v>
      </c>
      <c r="O48" s="286" t="e">
        <f t="shared" si="22"/>
        <v>#DIV/0!</v>
      </c>
      <c r="P48" s="286" t="e">
        <f t="shared" si="23"/>
        <v>#DIV/0!</v>
      </c>
      <c r="Q48" s="258"/>
      <c r="R48" s="286" t="str">
        <f t="shared" si="24"/>
        <v/>
      </c>
      <c r="S48" s="286" t="str">
        <f t="shared" si="25"/>
        <v/>
      </c>
      <c r="T48" s="286" t="str">
        <f t="shared" si="26"/>
        <v/>
      </c>
      <c r="U48" s="287" t="str">
        <f t="shared" si="27"/>
        <v/>
      </c>
    </row>
    <row r="49" spans="1:21" x14ac:dyDescent="0.3">
      <c r="A49" s="263">
        <f>2</f>
        <v>2</v>
      </c>
      <c r="B49" s="38"/>
      <c r="C49" s="38"/>
      <c r="D49" s="276"/>
      <c r="E49" s="277"/>
      <c r="F49" s="38"/>
      <c r="G49" s="38"/>
      <c r="H49" s="261">
        <f t="shared" si="15"/>
        <v>0</v>
      </c>
      <c r="I49" s="262">
        <f t="shared" si="16"/>
        <v>0</v>
      </c>
      <c r="J49" s="262">
        <f t="shared" si="17"/>
        <v>0</v>
      </c>
      <c r="K49" s="262">
        <f t="shared" si="18"/>
        <v>0</v>
      </c>
      <c r="L49" s="261">
        <f t="shared" si="28"/>
        <v>0</v>
      </c>
      <c r="M49" s="286">
        <f t="shared" si="29"/>
        <v>0</v>
      </c>
      <c r="N49" s="262">
        <f t="shared" si="21"/>
        <v>0</v>
      </c>
      <c r="O49" s="286" t="e">
        <f t="shared" si="22"/>
        <v>#DIV/0!</v>
      </c>
      <c r="P49" s="286" t="e">
        <f t="shared" si="23"/>
        <v>#DIV/0!</v>
      </c>
      <c r="Q49" s="258"/>
      <c r="R49" s="286" t="str">
        <f t="shared" si="24"/>
        <v/>
      </c>
      <c r="S49" s="286" t="str">
        <f t="shared" si="25"/>
        <v/>
      </c>
      <c r="T49" s="286" t="str">
        <f t="shared" si="26"/>
        <v/>
      </c>
      <c r="U49" s="287" t="str">
        <f t="shared" si="27"/>
        <v/>
      </c>
    </row>
    <row r="50" spans="1:21" x14ac:dyDescent="0.3">
      <c r="A50" s="263">
        <f>2</f>
        <v>2</v>
      </c>
      <c r="B50" s="38"/>
      <c r="C50" s="38"/>
      <c r="D50" s="276"/>
      <c r="E50" s="277"/>
      <c r="F50" s="38"/>
      <c r="G50" s="38"/>
      <c r="H50" s="261">
        <f t="shared" si="15"/>
        <v>0</v>
      </c>
      <c r="I50" s="262">
        <f t="shared" si="16"/>
        <v>0</v>
      </c>
      <c r="J50" s="262">
        <f t="shared" si="17"/>
        <v>0</v>
      </c>
      <c r="K50" s="262">
        <f t="shared" si="18"/>
        <v>0</v>
      </c>
      <c r="L50" s="261">
        <f t="shared" si="28"/>
        <v>0</v>
      </c>
      <c r="M50" s="286">
        <f t="shared" si="29"/>
        <v>0</v>
      </c>
      <c r="N50" s="262">
        <f t="shared" si="21"/>
        <v>0</v>
      </c>
      <c r="O50" s="286" t="e">
        <f t="shared" si="22"/>
        <v>#DIV/0!</v>
      </c>
      <c r="P50" s="286" t="e">
        <f t="shared" si="23"/>
        <v>#DIV/0!</v>
      </c>
      <c r="Q50" s="258"/>
      <c r="R50" s="286" t="str">
        <f t="shared" si="24"/>
        <v/>
      </c>
      <c r="S50" s="286" t="str">
        <f t="shared" si="25"/>
        <v/>
      </c>
      <c r="T50" s="286" t="str">
        <f t="shared" si="26"/>
        <v/>
      </c>
      <c r="U50" s="287" t="str">
        <f t="shared" si="27"/>
        <v/>
      </c>
    </row>
    <row r="51" spans="1:21" x14ac:dyDescent="0.3">
      <c r="A51" s="263">
        <f>2</f>
        <v>2</v>
      </c>
      <c r="B51" s="38"/>
      <c r="C51" s="38"/>
      <c r="D51" s="276"/>
      <c r="E51" s="277"/>
      <c r="F51" s="38"/>
      <c r="G51" s="38"/>
      <c r="H51" s="261">
        <f t="shared" si="15"/>
        <v>0</v>
      </c>
      <c r="I51" s="262">
        <f t="shared" si="16"/>
        <v>0</v>
      </c>
      <c r="J51" s="262">
        <f t="shared" si="17"/>
        <v>0</v>
      </c>
      <c r="K51" s="262">
        <f t="shared" si="18"/>
        <v>0</v>
      </c>
      <c r="L51" s="261">
        <f t="shared" si="28"/>
        <v>0</v>
      </c>
      <c r="M51" s="286">
        <f t="shared" si="29"/>
        <v>0</v>
      </c>
      <c r="N51" s="262">
        <f t="shared" si="21"/>
        <v>0</v>
      </c>
      <c r="O51" s="286" t="e">
        <f t="shared" si="22"/>
        <v>#DIV/0!</v>
      </c>
      <c r="P51" s="286" t="e">
        <f t="shared" si="23"/>
        <v>#DIV/0!</v>
      </c>
      <c r="Q51" s="258"/>
      <c r="R51" s="286" t="str">
        <f t="shared" si="24"/>
        <v/>
      </c>
      <c r="S51" s="286" t="str">
        <f t="shared" si="25"/>
        <v/>
      </c>
      <c r="T51" s="286" t="str">
        <f t="shared" si="26"/>
        <v/>
      </c>
      <c r="U51" s="287" t="str">
        <f t="shared" si="27"/>
        <v/>
      </c>
    </row>
    <row r="52" spans="1:21" x14ac:dyDescent="0.3">
      <c r="A52" s="263">
        <f>2</f>
        <v>2</v>
      </c>
      <c r="B52" s="38"/>
      <c r="C52" s="38"/>
      <c r="D52" s="276"/>
      <c r="E52" s="277"/>
      <c r="F52" s="38"/>
      <c r="G52" s="38"/>
      <c r="H52" s="261">
        <f t="shared" si="15"/>
        <v>0</v>
      </c>
      <c r="I52" s="262">
        <f t="shared" si="16"/>
        <v>0</v>
      </c>
      <c r="J52" s="262">
        <f t="shared" si="17"/>
        <v>0</v>
      </c>
      <c r="K52" s="262">
        <f t="shared" si="18"/>
        <v>0</v>
      </c>
      <c r="L52" s="261">
        <f t="shared" si="28"/>
        <v>0</v>
      </c>
      <c r="M52" s="286">
        <f t="shared" si="29"/>
        <v>0</v>
      </c>
      <c r="N52" s="262">
        <f t="shared" si="21"/>
        <v>0</v>
      </c>
      <c r="O52" s="286" t="e">
        <f t="shared" si="22"/>
        <v>#DIV/0!</v>
      </c>
      <c r="P52" s="286" t="e">
        <f t="shared" si="23"/>
        <v>#DIV/0!</v>
      </c>
      <c r="Q52" s="258"/>
      <c r="R52" s="286" t="str">
        <f t="shared" si="24"/>
        <v/>
      </c>
      <c r="S52" s="286" t="str">
        <f t="shared" si="25"/>
        <v/>
      </c>
      <c r="T52" s="286" t="str">
        <f t="shared" si="26"/>
        <v/>
      </c>
      <c r="U52" s="287" t="str">
        <f t="shared" si="27"/>
        <v/>
      </c>
    </row>
    <row r="53" spans="1:21" x14ac:dyDescent="0.3">
      <c r="B53" s="4" t="s">
        <v>139</v>
      </c>
      <c r="C53" s="4"/>
      <c r="D53" s="4"/>
      <c r="E53" s="253">
        <f>COUNT(B43:B52)</f>
        <v>0</v>
      </c>
      <c r="F53" s="28"/>
      <c r="G53" s="28"/>
      <c r="H53" s="28"/>
      <c r="I53" s="28"/>
      <c r="J53" s="28"/>
      <c r="K53" s="28"/>
      <c r="O53" s="285" t="e">
        <f>SUM(O43:O52)</f>
        <v>#DIV/0!</v>
      </c>
      <c r="P53" s="285" t="e">
        <f>SUM(P43:P52)</f>
        <v>#DIV/0!</v>
      </c>
      <c r="Q53" s="26"/>
      <c r="R53" s="285">
        <f>SUM(R43:R52)</f>
        <v>0</v>
      </c>
      <c r="S53" s="284">
        <f>SUM(S43:S52)</f>
        <v>0</v>
      </c>
      <c r="T53" s="284">
        <f>SUM(T43:T52)</f>
        <v>0</v>
      </c>
      <c r="U53" s="284">
        <f>SUM(U43:U52)</f>
        <v>0</v>
      </c>
    </row>
    <row r="54" spans="1:21" x14ac:dyDescent="0.3">
      <c r="R54" s="51"/>
      <c r="S54" s="51"/>
      <c r="T54" s="51"/>
      <c r="U54" s="51"/>
    </row>
    <row r="55" spans="1:21" x14ac:dyDescent="0.3">
      <c r="R55" s="51"/>
      <c r="S55" s="51"/>
      <c r="T55" s="51"/>
      <c r="U55" s="51"/>
    </row>
    <row r="56" spans="1:21" x14ac:dyDescent="0.3">
      <c r="R56" s="51"/>
      <c r="S56" s="51"/>
      <c r="T56" s="51"/>
      <c r="U56" s="51"/>
    </row>
    <row r="57" spans="1:21" x14ac:dyDescent="0.3">
      <c r="A57" s="3"/>
      <c r="C57" s="119" t="s">
        <v>826</v>
      </c>
      <c r="D57" s="252"/>
      <c r="E57" s="279"/>
      <c r="F57" s="251" t="s">
        <v>825</v>
      </c>
      <c r="G57" s="87"/>
      <c r="H57" s="28"/>
      <c r="I57" s="28"/>
      <c r="J57" s="28"/>
      <c r="K57" s="28"/>
      <c r="M57" s="28"/>
      <c r="N57" s="270"/>
      <c r="O57" s="119" t="s">
        <v>803</v>
      </c>
      <c r="P57" s="271"/>
      <c r="Q57" s="30"/>
      <c r="R57" s="35"/>
      <c r="S57" s="243" t="s">
        <v>902</v>
      </c>
      <c r="T57" s="259"/>
      <c r="U57" s="255"/>
    </row>
    <row r="58" spans="1:21" ht="18.75" x14ac:dyDescent="0.3">
      <c r="A58" s="281" t="s">
        <v>135</v>
      </c>
      <c r="B58" s="266" t="s">
        <v>143</v>
      </c>
      <c r="C58" s="272" t="s">
        <v>412</v>
      </c>
      <c r="D58" s="274" t="s">
        <v>1031</v>
      </c>
      <c r="E58" s="275" t="s">
        <v>157</v>
      </c>
      <c r="F58" s="269" t="s">
        <v>1029</v>
      </c>
      <c r="G58" s="269" t="s">
        <v>1030</v>
      </c>
      <c r="H58" s="266" t="s">
        <v>413</v>
      </c>
      <c r="I58" s="266" t="s">
        <v>842</v>
      </c>
      <c r="J58" s="266" t="s">
        <v>841</v>
      </c>
      <c r="K58" s="266" t="s">
        <v>843</v>
      </c>
      <c r="L58" s="266" t="s">
        <v>153</v>
      </c>
      <c r="M58" s="266" t="s">
        <v>844</v>
      </c>
      <c r="N58" s="266" t="s">
        <v>840</v>
      </c>
      <c r="O58" s="269" t="s">
        <v>159</v>
      </c>
      <c r="P58" s="266" t="s">
        <v>160</v>
      </c>
      <c r="Q58" s="257" t="s">
        <v>824</v>
      </c>
      <c r="R58" s="266" t="s">
        <v>137</v>
      </c>
      <c r="S58" s="266" t="s">
        <v>138</v>
      </c>
      <c r="T58" s="266" t="s">
        <v>161</v>
      </c>
      <c r="U58" s="283" t="s">
        <v>162</v>
      </c>
    </row>
    <row r="59" spans="1:21" x14ac:dyDescent="0.3">
      <c r="A59" s="263">
        <f>3</f>
        <v>3</v>
      </c>
      <c r="B59" s="38"/>
      <c r="C59" s="38"/>
      <c r="D59" s="276"/>
      <c r="E59" s="277"/>
      <c r="F59" s="38"/>
      <c r="G59" s="38"/>
      <c r="H59" s="261">
        <f t="shared" ref="H59:H68" si="30">D59*0.5</f>
        <v>0</v>
      </c>
      <c r="I59" s="262">
        <f t="shared" ref="I59:I68" si="31">(PI()*(H59*H59)*C59)/1000</f>
        <v>0</v>
      </c>
      <c r="J59" s="262">
        <f t="shared" ref="J59:J68" si="32">((PI()/6)*(E59*F59*G59))/1000</f>
        <v>0</v>
      </c>
      <c r="K59" s="262">
        <f t="shared" ref="K59:K68" si="33">J59+I59</f>
        <v>0</v>
      </c>
      <c r="L59" s="261">
        <f t="shared" ref="L59" si="34">IF(B59=1,$D$10,IF(B59=2,$D$11,IF(B59=3,$D$12,IF(B59=4,$D$13,))))</f>
        <v>0</v>
      </c>
      <c r="M59" s="286">
        <f t="shared" ref="M59" si="35">IF(B59=1,$G$10,IF(B59=2,$G$11,IF(B59=3,$G$12,IF(B59=4,$G$13,))))</f>
        <v>0</v>
      </c>
      <c r="N59" s="262">
        <f t="shared" ref="N59:N68" si="36">(K59*M59)*L59</f>
        <v>0</v>
      </c>
      <c r="O59" s="286" t="e">
        <f t="shared" ref="O59:O68" si="37">(N59)*(1/$B$6)</f>
        <v>#DIV/0!</v>
      </c>
      <c r="P59" s="286" t="e">
        <f t="shared" ref="P59:P68" si="38">O59/1000</f>
        <v>#DIV/0!</v>
      </c>
      <c r="Q59" s="258"/>
      <c r="R59" s="286" t="str">
        <f t="shared" ref="R59:R68" si="39">IF(B59=1, P59,"")</f>
        <v/>
      </c>
      <c r="S59" s="286" t="str">
        <f t="shared" ref="S59:S68" si="40">IF(B59=2, P59,"")</f>
        <v/>
      </c>
      <c r="T59" s="286" t="str">
        <f t="shared" ref="T59:T68" si="41">IF(B59=3, P59,"")</f>
        <v/>
      </c>
      <c r="U59" s="287" t="str">
        <f t="shared" ref="U59:U68" si="42">IF(B59=4, P59,"")</f>
        <v/>
      </c>
    </row>
    <row r="60" spans="1:21" x14ac:dyDescent="0.3">
      <c r="A60" s="263">
        <f>3</f>
        <v>3</v>
      </c>
      <c r="B60" s="38"/>
      <c r="C60" s="38"/>
      <c r="D60" s="276"/>
      <c r="E60" s="277"/>
      <c r="F60" s="38"/>
      <c r="G60" s="38"/>
      <c r="H60" s="261">
        <f t="shared" si="30"/>
        <v>0</v>
      </c>
      <c r="I60" s="262">
        <f t="shared" si="31"/>
        <v>0</v>
      </c>
      <c r="J60" s="262">
        <f t="shared" si="32"/>
        <v>0</v>
      </c>
      <c r="K60" s="262">
        <f t="shared" si="33"/>
        <v>0</v>
      </c>
      <c r="L60" s="261">
        <f t="shared" ref="L60:L68" si="43">IF(B60=1,$D$10,IF(B60=2,$D$11,IF(B60=3,$D$12,IF(B60=4,$D$13,))))</f>
        <v>0</v>
      </c>
      <c r="M60" s="286">
        <f t="shared" ref="M60:M68" si="44">IF(B60=1,$G$10,IF(B60=2,$G$11,IF(B60=3,$G$12,IF(B60=4,$G$13,))))</f>
        <v>0</v>
      </c>
      <c r="N60" s="262">
        <f t="shared" si="36"/>
        <v>0</v>
      </c>
      <c r="O60" s="286" t="e">
        <f t="shared" si="37"/>
        <v>#DIV/0!</v>
      </c>
      <c r="P60" s="286" t="e">
        <f t="shared" si="38"/>
        <v>#DIV/0!</v>
      </c>
      <c r="Q60" s="258"/>
      <c r="R60" s="286" t="str">
        <f t="shared" si="39"/>
        <v/>
      </c>
      <c r="S60" s="286" t="str">
        <f t="shared" si="40"/>
        <v/>
      </c>
      <c r="T60" s="286" t="str">
        <f t="shared" si="41"/>
        <v/>
      </c>
      <c r="U60" s="287" t="str">
        <f t="shared" si="42"/>
        <v/>
      </c>
    </row>
    <row r="61" spans="1:21" x14ac:dyDescent="0.3">
      <c r="A61" s="263">
        <f>3</f>
        <v>3</v>
      </c>
      <c r="B61" s="38"/>
      <c r="C61" s="38"/>
      <c r="D61" s="276"/>
      <c r="E61" s="277"/>
      <c r="F61" s="38"/>
      <c r="G61" s="38"/>
      <c r="H61" s="261">
        <f t="shared" si="30"/>
        <v>0</v>
      </c>
      <c r="I61" s="262">
        <f t="shared" si="31"/>
        <v>0</v>
      </c>
      <c r="J61" s="262">
        <f t="shared" si="32"/>
        <v>0</v>
      </c>
      <c r="K61" s="262">
        <f t="shared" si="33"/>
        <v>0</v>
      </c>
      <c r="L61" s="261">
        <f t="shared" si="43"/>
        <v>0</v>
      </c>
      <c r="M61" s="286">
        <f t="shared" si="44"/>
        <v>0</v>
      </c>
      <c r="N61" s="262">
        <f t="shared" si="36"/>
        <v>0</v>
      </c>
      <c r="O61" s="286" t="e">
        <f t="shared" si="37"/>
        <v>#DIV/0!</v>
      </c>
      <c r="P61" s="286" t="e">
        <f t="shared" si="38"/>
        <v>#DIV/0!</v>
      </c>
      <c r="Q61" s="258"/>
      <c r="R61" s="286" t="str">
        <f t="shared" si="39"/>
        <v/>
      </c>
      <c r="S61" s="286" t="str">
        <f t="shared" si="40"/>
        <v/>
      </c>
      <c r="T61" s="286" t="str">
        <f t="shared" si="41"/>
        <v/>
      </c>
      <c r="U61" s="287" t="str">
        <f t="shared" si="42"/>
        <v/>
      </c>
    </row>
    <row r="62" spans="1:21" x14ac:dyDescent="0.3">
      <c r="A62" s="263">
        <f>3</f>
        <v>3</v>
      </c>
      <c r="B62" s="38"/>
      <c r="C62" s="38"/>
      <c r="D62" s="276"/>
      <c r="E62" s="277"/>
      <c r="F62" s="38"/>
      <c r="G62" s="38"/>
      <c r="H62" s="261">
        <f t="shared" si="30"/>
        <v>0</v>
      </c>
      <c r="I62" s="262">
        <f t="shared" si="31"/>
        <v>0</v>
      </c>
      <c r="J62" s="262">
        <f t="shared" si="32"/>
        <v>0</v>
      </c>
      <c r="K62" s="262">
        <f t="shared" si="33"/>
        <v>0</v>
      </c>
      <c r="L62" s="261">
        <f t="shared" si="43"/>
        <v>0</v>
      </c>
      <c r="M62" s="286">
        <f t="shared" si="44"/>
        <v>0</v>
      </c>
      <c r="N62" s="262">
        <f t="shared" si="36"/>
        <v>0</v>
      </c>
      <c r="O62" s="286" t="e">
        <f t="shared" si="37"/>
        <v>#DIV/0!</v>
      </c>
      <c r="P62" s="286" t="e">
        <f t="shared" si="38"/>
        <v>#DIV/0!</v>
      </c>
      <c r="Q62" s="258"/>
      <c r="R62" s="286" t="str">
        <f t="shared" si="39"/>
        <v/>
      </c>
      <c r="S62" s="286" t="str">
        <f t="shared" si="40"/>
        <v/>
      </c>
      <c r="T62" s="286" t="str">
        <f t="shared" si="41"/>
        <v/>
      </c>
      <c r="U62" s="287" t="str">
        <f t="shared" si="42"/>
        <v/>
      </c>
    </row>
    <row r="63" spans="1:21" x14ac:dyDescent="0.3">
      <c r="A63" s="263">
        <f>3</f>
        <v>3</v>
      </c>
      <c r="B63" s="38"/>
      <c r="C63" s="38"/>
      <c r="D63" s="276"/>
      <c r="E63" s="277"/>
      <c r="F63" s="38"/>
      <c r="G63" s="38"/>
      <c r="H63" s="261">
        <f t="shared" si="30"/>
        <v>0</v>
      </c>
      <c r="I63" s="262">
        <f t="shared" si="31"/>
        <v>0</v>
      </c>
      <c r="J63" s="262">
        <f t="shared" si="32"/>
        <v>0</v>
      </c>
      <c r="K63" s="262">
        <f t="shared" si="33"/>
        <v>0</v>
      </c>
      <c r="L63" s="261">
        <f t="shared" si="43"/>
        <v>0</v>
      </c>
      <c r="M63" s="286">
        <f t="shared" si="44"/>
        <v>0</v>
      </c>
      <c r="N63" s="262">
        <f t="shared" si="36"/>
        <v>0</v>
      </c>
      <c r="O63" s="286" t="e">
        <f t="shared" si="37"/>
        <v>#DIV/0!</v>
      </c>
      <c r="P63" s="286" t="e">
        <f t="shared" si="38"/>
        <v>#DIV/0!</v>
      </c>
      <c r="Q63" s="258"/>
      <c r="R63" s="286" t="str">
        <f t="shared" si="39"/>
        <v/>
      </c>
      <c r="S63" s="286" t="str">
        <f t="shared" si="40"/>
        <v/>
      </c>
      <c r="T63" s="286" t="str">
        <f t="shared" si="41"/>
        <v/>
      </c>
      <c r="U63" s="287" t="str">
        <f t="shared" si="42"/>
        <v/>
      </c>
    </row>
    <row r="64" spans="1:21" x14ac:dyDescent="0.3">
      <c r="A64" s="263">
        <f>3</f>
        <v>3</v>
      </c>
      <c r="B64" s="38"/>
      <c r="C64" s="38"/>
      <c r="D64" s="276"/>
      <c r="E64" s="277"/>
      <c r="F64" s="38"/>
      <c r="G64" s="38"/>
      <c r="H64" s="261">
        <f t="shared" si="30"/>
        <v>0</v>
      </c>
      <c r="I64" s="262">
        <f t="shared" si="31"/>
        <v>0</v>
      </c>
      <c r="J64" s="262">
        <f t="shared" si="32"/>
        <v>0</v>
      </c>
      <c r="K64" s="262">
        <f t="shared" si="33"/>
        <v>0</v>
      </c>
      <c r="L64" s="261">
        <f t="shared" si="43"/>
        <v>0</v>
      </c>
      <c r="M64" s="286">
        <f t="shared" si="44"/>
        <v>0</v>
      </c>
      <c r="N64" s="262">
        <f t="shared" si="36"/>
        <v>0</v>
      </c>
      <c r="O64" s="286" t="e">
        <f t="shared" si="37"/>
        <v>#DIV/0!</v>
      </c>
      <c r="P64" s="286" t="e">
        <f t="shared" si="38"/>
        <v>#DIV/0!</v>
      </c>
      <c r="Q64" s="258"/>
      <c r="R64" s="286" t="str">
        <f t="shared" si="39"/>
        <v/>
      </c>
      <c r="S64" s="286" t="str">
        <f t="shared" si="40"/>
        <v/>
      </c>
      <c r="T64" s="286" t="str">
        <f t="shared" si="41"/>
        <v/>
      </c>
      <c r="U64" s="287" t="str">
        <f t="shared" si="42"/>
        <v/>
      </c>
    </row>
    <row r="65" spans="1:21" x14ac:dyDescent="0.3">
      <c r="A65" s="263">
        <f>3</f>
        <v>3</v>
      </c>
      <c r="B65" s="38"/>
      <c r="C65" s="38"/>
      <c r="D65" s="276"/>
      <c r="E65" s="277"/>
      <c r="F65" s="38"/>
      <c r="G65" s="38"/>
      <c r="H65" s="261">
        <f t="shared" si="30"/>
        <v>0</v>
      </c>
      <c r="I65" s="262">
        <f t="shared" si="31"/>
        <v>0</v>
      </c>
      <c r="J65" s="262">
        <f t="shared" si="32"/>
        <v>0</v>
      </c>
      <c r="K65" s="262">
        <f t="shared" si="33"/>
        <v>0</v>
      </c>
      <c r="L65" s="261">
        <f t="shared" si="43"/>
        <v>0</v>
      </c>
      <c r="M65" s="286">
        <f t="shared" si="44"/>
        <v>0</v>
      </c>
      <c r="N65" s="262">
        <f t="shared" si="36"/>
        <v>0</v>
      </c>
      <c r="O65" s="286" t="e">
        <f t="shared" si="37"/>
        <v>#DIV/0!</v>
      </c>
      <c r="P65" s="286" t="e">
        <f t="shared" si="38"/>
        <v>#DIV/0!</v>
      </c>
      <c r="Q65" s="258"/>
      <c r="R65" s="286" t="str">
        <f t="shared" si="39"/>
        <v/>
      </c>
      <c r="S65" s="286" t="str">
        <f t="shared" si="40"/>
        <v/>
      </c>
      <c r="T65" s="286" t="str">
        <f t="shared" si="41"/>
        <v/>
      </c>
      <c r="U65" s="287" t="str">
        <f t="shared" si="42"/>
        <v/>
      </c>
    </row>
    <row r="66" spans="1:21" x14ac:dyDescent="0.3">
      <c r="A66" s="263">
        <f>3</f>
        <v>3</v>
      </c>
      <c r="B66" s="38"/>
      <c r="C66" s="38"/>
      <c r="D66" s="276"/>
      <c r="E66" s="277"/>
      <c r="F66" s="38"/>
      <c r="G66" s="38"/>
      <c r="H66" s="261">
        <f t="shared" si="30"/>
        <v>0</v>
      </c>
      <c r="I66" s="262">
        <f t="shared" si="31"/>
        <v>0</v>
      </c>
      <c r="J66" s="262">
        <f t="shared" si="32"/>
        <v>0</v>
      </c>
      <c r="K66" s="262">
        <f t="shared" si="33"/>
        <v>0</v>
      </c>
      <c r="L66" s="261">
        <f t="shared" si="43"/>
        <v>0</v>
      </c>
      <c r="M66" s="286">
        <f t="shared" si="44"/>
        <v>0</v>
      </c>
      <c r="N66" s="262">
        <f t="shared" si="36"/>
        <v>0</v>
      </c>
      <c r="O66" s="286" t="e">
        <f t="shared" si="37"/>
        <v>#DIV/0!</v>
      </c>
      <c r="P66" s="286" t="e">
        <f t="shared" si="38"/>
        <v>#DIV/0!</v>
      </c>
      <c r="Q66" s="258"/>
      <c r="R66" s="286" t="str">
        <f t="shared" si="39"/>
        <v/>
      </c>
      <c r="S66" s="286" t="str">
        <f t="shared" si="40"/>
        <v/>
      </c>
      <c r="T66" s="286" t="str">
        <f t="shared" si="41"/>
        <v/>
      </c>
      <c r="U66" s="287" t="str">
        <f t="shared" si="42"/>
        <v/>
      </c>
    </row>
    <row r="67" spans="1:21" x14ac:dyDescent="0.3">
      <c r="A67" s="263">
        <f>3</f>
        <v>3</v>
      </c>
      <c r="B67" s="38"/>
      <c r="C67" s="38"/>
      <c r="D67" s="276"/>
      <c r="E67" s="277"/>
      <c r="F67" s="38"/>
      <c r="G67" s="38"/>
      <c r="H67" s="261">
        <f t="shared" si="30"/>
        <v>0</v>
      </c>
      <c r="I67" s="262">
        <f t="shared" si="31"/>
        <v>0</v>
      </c>
      <c r="J67" s="262">
        <f t="shared" si="32"/>
        <v>0</v>
      </c>
      <c r="K67" s="262">
        <f t="shared" si="33"/>
        <v>0</v>
      </c>
      <c r="L67" s="261">
        <f t="shared" si="43"/>
        <v>0</v>
      </c>
      <c r="M67" s="286">
        <f t="shared" si="44"/>
        <v>0</v>
      </c>
      <c r="N67" s="262">
        <f t="shared" si="36"/>
        <v>0</v>
      </c>
      <c r="O67" s="286" t="e">
        <f t="shared" si="37"/>
        <v>#DIV/0!</v>
      </c>
      <c r="P67" s="286" t="e">
        <f t="shared" si="38"/>
        <v>#DIV/0!</v>
      </c>
      <c r="Q67" s="258"/>
      <c r="R67" s="286" t="str">
        <f t="shared" si="39"/>
        <v/>
      </c>
      <c r="S67" s="286" t="str">
        <f t="shared" si="40"/>
        <v/>
      </c>
      <c r="T67" s="286" t="str">
        <f t="shared" si="41"/>
        <v/>
      </c>
      <c r="U67" s="287" t="str">
        <f t="shared" si="42"/>
        <v/>
      </c>
    </row>
    <row r="68" spans="1:21" x14ac:dyDescent="0.3">
      <c r="A68" s="263">
        <f>3</f>
        <v>3</v>
      </c>
      <c r="B68" s="38"/>
      <c r="C68" s="38"/>
      <c r="D68" s="276"/>
      <c r="E68" s="277"/>
      <c r="F68" s="38"/>
      <c r="G68" s="38"/>
      <c r="H68" s="261">
        <f t="shared" si="30"/>
        <v>0</v>
      </c>
      <c r="I68" s="262">
        <f t="shared" si="31"/>
        <v>0</v>
      </c>
      <c r="J68" s="262">
        <f t="shared" si="32"/>
        <v>0</v>
      </c>
      <c r="K68" s="262">
        <f t="shared" si="33"/>
        <v>0</v>
      </c>
      <c r="L68" s="261">
        <f t="shared" si="43"/>
        <v>0</v>
      </c>
      <c r="M68" s="286">
        <f t="shared" si="44"/>
        <v>0</v>
      </c>
      <c r="N68" s="262">
        <f t="shared" si="36"/>
        <v>0</v>
      </c>
      <c r="O68" s="286" t="e">
        <f t="shared" si="37"/>
        <v>#DIV/0!</v>
      </c>
      <c r="P68" s="286" t="e">
        <f t="shared" si="38"/>
        <v>#DIV/0!</v>
      </c>
      <c r="Q68" s="258"/>
      <c r="R68" s="286" t="str">
        <f t="shared" si="39"/>
        <v/>
      </c>
      <c r="S68" s="286" t="str">
        <f t="shared" si="40"/>
        <v/>
      </c>
      <c r="T68" s="286" t="str">
        <f t="shared" si="41"/>
        <v/>
      </c>
      <c r="U68" s="287" t="str">
        <f t="shared" si="42"/>
        <v/>
      </c>
    </row>
    <row r="69" spans="1:21" x14ac:dyDescent="0.3">
      <c r="B69" s="4" t="s">
        <v>139</v>
      </c>
      <c r="C69" s="4"/>
      <c r="D69" s="4"/>
      <c r="E69" s="253">
        <f>COUNT(B59:B68)</f>
        <v>0</v>
      </c>
      <c r="F69" s="28"/>
      <c r="G69" s="28"/>
      <c r="H69" s="28"/>
      <c r="I69" s="28"/>
      <c r="J69" s="28"/>
      <c r="K69" s="28"/>
      <c r="O69" s="285" t="e">
        <f>SUM(O59:O68)</f>
        <v>#DIV/0!</v>
      </c>
      <c r="P69" s="285" t="e">
        <f>SUM(P59:P68)</f>
        <v>#DIV/0!</v>
      </c>
      <c r="Q69" s="26"/>
      <c r="R69" s="285">
        <f>SUM(R59:R68)</f>
        <v>0</v>
      </c>
      <c r="S69" s="284">
        <f>SUM(S59:S68)</f>
        <v>0</v>
      </c>
      <c r="T69" s="284">
        <f>SUM(T59:T68)</f>
        <v>0</v>
      </c>
      <c r="U69" s="284">
        <f>SUM(U59:U68)</f>
        <v>0</v>
      </c>
    </row>
    <row r="70" spans="1:21" x14ac:dyDescent="0.3">
      <c r="R70" s="51"/>
      <c r="S70" s="51"/>
      <c r="T70" s="51"/>
      <c r="U70" s="51"/>
    </row>
    <row r="71" spans="1:21" x14ac:dyDescent="0.3">
      <c r="R71" s="51"/>
      <c r="S71" s="51"/>
      <c r="T71" s="51"/>
      <c r="U71" s="51"/>
    </row>
    <row r="72" spans="1:21" x14ac:dyDescent="0.3">
      <c r="R72" s="51"/>
      <c r="S72" s="51"/>
      <c r="T72" s="51"/>
      <c r="U72" s="51"/>
    </row>
    <row r="73" spans="1:21" x14ac:dyDescent="0.3">
      <c r="A73" s="3"/>
      <c r="C73" s="119" t="s">
        <v>826</v>
      </c>
      <c r="D73" s="252"/>
      <c r="E73" s="279"/>
      <c r="F73" s="251" t="s">
        <v>825</v>
      </c>
      <c r="G73" s="87"/>
      <c r="H73" s="28"/>
      <c r="I73" s="28"/>
      <c r="J73" s="28"/>
      <c r="K73" s="28"/>
      <c r="M73" s="28"/>
      <c r="N73" s="270"/>
      <c r="O73" s="119" t="s">
        <v>803</v>
      </c>
      <c r="P73" s="271"/>
      <c r="Q73" s="30"/>
      <c r="R73" s="35"/>
      <c r="S73" s="243" t="s">
        <v>902</v>
      </c>
      <c r="T73" s="259"/>
      <c r="U73" s="255"/>
    </row>
    <row r="74" spans="1:21" ht="18.75" x14ac:dyDescent="0.3">
      <c r="A74" s="281" t="s">
        <v>135</v>
      </c>
      <c r="B74" s="266" t="s">
        <v>143</v>
      </c>
      <c r="C74" s="272" t="s">
        <v>412</v>
      </c>
      <c r="D74" s="274" t="s">
        <v>1031</v>
      </c>
      <c r="E74" s="275" t="s">
        <v>157</v>
      </c>
      <c r="F74" s="269" t="s">
        <v>1029</v>
      </c>
      <c r="G74" s="269" t="s">
        <v>1030</v>
      </c>
      <c r="H74" s="266" t="s">
        <v>413</v>
      </c>
      <c r="I74" s="266" t="s">
        <v>842</v>
      </c>
      <c r="J74" s="266" t="s">
        <v>841</v>
      </c>
      <c r="K74" s="266" t="s">
        <v>843</v>
      </c>
      <c r="L74" s="266" t="s">
        <v>153</v>
      </c>
      <c r="M74" s="266" t="s">
        <v>844</v>
      </c>
      <c r="N74" s="266" t="s">
        <v>840</v>
      </c>
      <c r="O74" s="269" t="s">
        <v>159</v>
      </c>
      <c r="P74" s="266" t="s">
        <v>160</v>
      </c>
      <c r="Q74" s="257" t="s">
        <v>824</v>
      </c>
      <c r="R74" s="266" t="s">
        <v>137</v>
      </c>
      <c r="S74" s="266" t="s">
        <v>138</v>
      </c>
      <c r="T74" s="266" t="s">
        <v>161</v>
      </c>
      <c r="U74" s="283" t="s">
        <v>162</v>
      </c>
    </row>
    <row r="75" spans="1:21" x14ac:dyDescent="0.3">
      <c r="A75" s="263">
        <f>4</f>
        <v>4</v>
      </c>
      <c r="B75" s="38"/>
      <c r="C75" s="38"/>
      <c r="D75" s="276"/>
      <c r="E75" s="277"/>
      <c r="F75" s="38"/>
      <c r="G75" s="38"/>
      <c r="H75" s="261">
        <f t="shared" ref="H75:H84" si="45">D75*0.5</f>
        <v>0</v>
      </c>
      <c r="I75" s="262">
        <f t="shared" ref="I75" si="46">(PI()*(H75*H75)*C75)/1000</f>
        <v>0</v>
      </c>
      <c r="J75" s="262">
        <f t="shared" ref="J75" si="47">((PI()/6)*(E75*F75*G75))/1000</f>
        <v>0</v>
      </c>
      <c r="K75" s="262">
        <f t="shared" ref="K75" si="48">J75+I75</f>
        <v>0</v>
      </c>
      <c r="L75" s="261">
        <f t="shared" ref="L75" si="49">IF(B75=1,$D$10,IF(B75=2,$D$11,IF(B75=3,$D$12,IF(B75=4,$D$13,))))</f>
        <v>0</v>
      </c>
      <c r="M75" s="286">
        <f t="shared" ref="M75" si="50">IF(B75=1,$G$10,IF(B75=2,$G$11,IF(B75=3,$G$12,IF(B75=4,$G$13,))))</f>
        <v>0</v>
      </c>
      <c r="N75" s="262">
        <f t="shared" ref="N75:N84" si="51">(K75*M75)*L75</f>
        <v>0</v>
      </c>
      <c r="O75" s="286" t="e">
        <f t="shared" ref="O75:O84" si="52">(N75)*(1/$B$6)</f>
        <v>#DIV/0!</v>
      </c>
      <c r="P75" s="286" t="e">
        <f t="shared" ref="P75:P84" si="53">O75/1000</f>
        <v>#DIV/0!</v>
      </c>
      <c r="Q75" s="258"/>
      <c r="R75" s="286" t="str">
        <f t="shared" ref="R75:R84" si="54">IF(B75=1, P75,"")</f>
        <v/>
      </c>
      <c r="S75" s="286" t="str">
        <f t="shared" ref="S75:S84" si="55">IF(B75=2, P75,"")</f>
        <v/>
      </c>
      <c r="T75" s="286" t="str">
        <f t="shared" ref="T75:T84" si="56">IF(B75=3, P75,"")</f>
        <v/>
      </c>
      <c r="U75" s="287" t="str">
        <f t="shared" ref="U75:U84" si="57">IF(B75=4, P75,"")</f>
        <v/>
      </c>
    </row>
    <row r="76" spans="1:21" x14ac:dyDescent="0.3">
      <c r="A76" s="263">
        <f>4</f>
        <v>4</v>
      </c>
      <c r="B76" s="38"/>
      <c r="C76" s="38"/>
      <c r="D76" s="276"/>
      <c r="E76" s="277"/>
      <c r="F76" s="38"/>
      <c r="G76" s="38"/>
      <c r="H76" s="261">
        <f t="shared" si="45"/>
        <v>0</v>
      </c>
      <c r="I76" s="262">
        <f t="shared" ref="I76:I84" si="58">(PI()*(H76*H76)*C76)/1000</f>
        <v>0</v>
      </c>
      <c r="J76" s="262">
        <f t="shared" ref="J76:J84" si="59">((PI()/6)*(E76*F76*G76))/1000</f>
        <v>0</v>
      </c>
      <c r="K76" s="262">
        <f t="shared" ref="K76:K84" si="60">J76+I76</f>
        <v>0</v>
      </c>
      <c r="L76" s="261">
        <f t="shared" ref="L76:L84" si="61">IF(B76=1,$D$10,IF(B76=2,$D$11,IF(B76=3,$D$12,IF(B76=4,$D$13,))))</f>
        <v>0</v>
      </c>
      <c r="M76" s="286">
        <f t="shared" ref="M76:M84" si="62">IF(B76=1,$G$10,IF(B76=2,$G$11,IF(B76=3,$G$12,IF(B76=4,$G$13,))))</f>
        <v>0</v>
      </c>
      <c r="N76" s="262">
        <f t="shared" si="51"/>
        <v>0</v>
      </c>
      <c r="O76" s="286" t="e">
        <f t="shared" si="52"/>
        <v>#DIV/0!</v>
      </c>
      <c r="P76" s="286" t="e">
        <f t="shared" si="53"/>
        <v>#DIV/0!</v>
      </c>
      <c r="Q76" s="258"/>
      <c r="R76" s="286" t="str">
        <f t="shared" si="54"/>
        <v/>
      </c>
      <c r="S76" s="286" t="str">
        <f t="shared" si="55"/>
        <v/>
      </c>
      <c r="T76" s="286" t="str">
        <f t="shared" si="56"/>
        <v/>
      </c>
      <c r="U76" s="287" t="str">
        <f t="shared" si="57"/>
        <v/>
      </c>
    </row>
    <row r="77" spans="1:21" x14ac:dyDescent="0.3">
      <c r="A77" s="263">
        <f>4</f>
        <v>4</v>
      </c>
      <c r="B77" s="38"/>
      <c r="C77" s="38"/>
      <c r="D77" s="276"/>
      <c r="E77" s="277"/>
      <c r="F77" s="38"/>
      <c r="G77" s="38"/>
      <c r="H77" s="261">
        <f t="shared" si="45"/>
        <v>0</v>
      </c>
      <c r="I77" s="262">
        <f t="shared" si="58"/>
        <v>0</v>
      </c>
      <c r="J77" s="262">
        <f t="shared" si="59"/>
        <v>0</v>
      </c>
      <c r="K77" s="262">
        <f t="shared" si="60"/>
        <v>0</v>
      </c>
      <c r="L77" s="261">
        <f t="shared" si="61"/>
        <v>0</v>
      </c>
      <c r="M77" s="286">
        <f t="shared" si="62"/>
        <v>0</v>
      </c>
      <c r="N77" s="262">
        <f t="shared" si="51"/>
        <v>0</v>
      </c>
      <c r="O77" s="286" t="e">
        <f t="shared" si="52"/>
        <v>#DIV/0!</v>
      </c>
      <c r="P77" s="286" t="e">
        <f t="shared" si="53"/>
        <v>#DIV/0!</v>
      </c>
      <c r="Q77" s="258"/>
      <c r="R77" s="286" t="str">
        <f t="shared" si="54"/>
        <v/>
      </c>
      <c r="S77" s="286" t="str">
        <f t="shared" si="55"/>
        <v/>
      </c>
      <c r="T77" s="286" t="str">
        <f t="shared" si="56"/>
        <v/>
      </c>
      <c r="U77" s="287" t="str">
        <f t="shared" si="57"/>
        <v/>
      </c>
    </row>
    <row r="78" spans="1:21" x14ac:dyDescent="0.3">
      <c r="A78" s="263">
        <f>4</f>
        <v>4</v>
      </c>
      <c r="B78" s="38"/>
      <c r="C78" s="38"/>
      <c r="D78" s="276"/>
      <c r="E78" s="277"/>
      <c r="F78" s="38"/>
      <c r="G78" s="38"/>
      <c r="H78" s="261">
        <f t="shared" si="45"/>
        <v>0</v>
      </c>
      <c r="I78" s="262">
        <f t="shared" si="58"/>
        <v>0</v>
      </c>
      <c r="J78" s="262">
        <f t="shared" si="59"/>
        <v>0</v>
      </c>
      <c r="K78" s="262">
        <f t="shared" si="60"/>
        <v>0</v>
      </c>
      <c r="L78" s="261">
        <f t="shared" si="61"/>
        <v>0</v>
      </c>
      <c r="M78" s="286">
        <f t="shared" si="62"/>
        <v>0</v>
      </c>
      <c r="N78" s="262">
        <f t="shared" si="51"/>
        <v>0</v>
      </c>
      <c r="O78" s="286" t="e">
        <f t="shared" si="52"/>
        <v>#DIV/0!</v>
      </c>
      <c r="P78" s="286" t="e">
        <f t="shared" si="53"/>
        <v>#DIV/0!</v>
      </c>
      <c r="Q78" s="258"/>
      <c r="R78" s="286" t="str">
        <f t="shared" si="54"/>
        <v/>
      </c>
      <c r="S78" s="286" t="str">
        <f t="shared" si="55"/>
        <v/>
      </c>
      <c r="T78" s="286" t="str">
        <f t="shared" si="56"/>
        <v/>
      </c>
      <c r="U78" s="287" t="str">
        <f t="shared" si="57"/>
        <v/>
      </c>
    </row>
    <row r="79" spans="1:21" x14ac:dyDescent="0.3">
      <c r="A79" s="263">
        <f>4</f>
        <v>4</v>
      </c>
      <c r="B79" s="38"/>
      <c r="C79" s="38"/>
      <c r="D79" s="276"/>
      <c r="E79" s="277"/>
      <c r="F79" s="38"/>
      <c r="G79" s="38"/>
      <c r="H79" s="261">
        <f t="shared" si="45"/>
        <v>0</v>
      </c>
      <c r="I79" s="262">
        <f t="shared" si="58"/>
        <v>0</v>
      </c>
      <c r="J79" s="262">
        <f t="shared" si="59"/>
        <v>0</v>
      </c>
      <c r="K79" s="262">
        <f t="shared" si="60"/>
        <v>0</v>
      </c>
      <c r="L79" s="261">
        <f t="shared" si="61"/>
        <v>0</v>
      </c>
      <c r="M79" s="286">
        <f t="shared" si="62"/>
        <v>0</v>
      </c>
      <c r="N79" s="262">
        <f t="shared" si="51"/>
        <v>0</v>
      </c>
      <c r="O79" s="286" t="e">
        <f t="shared" si="52"/>
        <v>#DIV/0!</v>
      </c>
      <c r="P79" s="286" t="e">
        <f t="shared" si="53"/>
        <v>#DIV/0!</v>
      </c>
      <c r="Q79" s="258"/>
      <c r="R79" s="286" t="str">
        <f t="shared" si="54"/>
        <v/>
      </c>
      <c r="S79" s="286" t="str">
        <f t="shared" si="55"/>
        <v/>
      </c>
      <c r="T79" s="286" t="str">
        <f t="shared" si="56"/>
        <v/>
      </c>
      <c r="U79" s="287" t="str">
        <f t="shared" si="57"/>
        <v/>
      </c>
    </row>
    <row r="80" spans="1:21" x14ac:dyDescent="0.3">
      <c r="A80" s="263">
        <f>4</f>
        <v>4</v>
      </c>
      <c r="B80" s="38"/>
      <c r="C80" s="38"/>
      <c r="D80" s="276"/>
      <c r="E80" s="277"/>
      <c r="F80" s="38"/>
      <c r="G80" s="38"/>
      <c r="H80" s="261">
        <f t="shared" si="45"/>
        <v>0</v>
      </c>
      <c r="I80" s="262">
        <f t="shared" si="58"/>
        <v>0</v>
      </c>
      <c r="J80" s="262">
        <f t="shared" si="59"/>
        <v>0</v>
      </c>
      <c r="K80" s="262">
        <f t="shared" si="60"/>
        <v>0</v>
      </c>
      <c r="L80" s="261">
        <f t="shared" si="61"/>
        <v>0</v>
      </c>
      <c r="M80" s="286">
        <f t="shared" si="62"/>
        <v>0</v>
      </c>
      <c r="N80" s="262">
        <f t="shared" si="51"/>
        <v>0</v>
      </c>
      <c r="O80" s="286" t="e">
        <f t="shared" si="52"/>
        <v>#DIV/0!</v>
      </c>
      <c r="P80" s="286" t="e">
        <f t="shared" si="53"/>
        <v>#DIV/0!</v>
      </c>
      <c r="Q80" s="258"/>
      <c r="R80" s="286" t="str">
        <f t="shared" si="54"/>
        <v/>
      </c>
      <c r="S80" s="286" t="str">
        <f t="shared" si="55"/>
        <v/>
      </c>
      <c r="T80" s="286" t="str">
        <f t="shared" si="56"/>
        <v/>
      </c>
      <c r="U80" s="287" t="str">
        <f t="shared" si="57"/>
        <v/>
      </c>
    </row>
    <row r="81" spans="1:21" x14ac:dyDescent="0.3">
      <c r="A81" s="263">
        <f>4</f>
        <v>4</v>
      </c>
      <c r="B81" s="38"/>
      <c r="C81" s="38"/>
      <c r="D81" s="276"/>
      <c r="E81" s="277"/>
      <c r="F81" s="38"/>
      <c r="G81" s="38"/>
      <c r="H81" s="261">
        <f t="shared" si="45"/>
        <v>0</v>
      </c>
      <c r="I81" s="262">
        <f t="shared" si="58"/>
        <v>0</v>
      </c>
      <c r="J81" s="262">
        <f t="shared" si="59"/>
        <v>0</v>
      </c>
      <c r="K81" s="262">
        <f t="shared" si="60"/>
        <v>0</v>
      </c>
      <c r="L81" s="261">
        <f t="shared" si="61"/>
        <v>0</v>
      </c>
      <c r="M81" s="286">
        <f t="shared" si="62"/>
        <v>0</v>
      </c>
      <c r="N81" s="262">
        <f t="shared" si="51"/>
        <v>0</v>
      </c>
      <c r="O81" s="286" t="e">
        <f t="shared" si="52"/>
        <v>#DIV/0!</v>
      </c>
      <c r="P81" s="286" t="e">
        <f t="shared" si="53"/>
        <v>#DIV/0!</v>
      </c>
      <c r="Q81" s="258"/>
      <c r="R81" s="286" t="str">
        <f t="shared" si="54"/>
        <v/>
      </c>
      <c r="S81" s="286" t="str">
        <f t="shared" si="55"/>
        <v/>
      </c>
      <c r="T81" s="286" t="str">
        <f t="shared" si="56"/>
        <v/>
      </c>
      <c r="U81" s="287" t="str">
        <f t="shared" si="57"/>
        <v/>
      </c>
    </row>
    <row r="82" spans="1:21" x14ac:dyDescent="0.3">
      <c r="A82" s="263">
        <f>4</f>
        <v>4</v>
      </c>
      <c r="B82" s="38"/>
      <c r="C82" s="38"/>
      <c r="D82" s="276"/>
      <c r="E82" s="277"/>
      <c r="F82" s="38"/>
      <c r="G82" s="38"/>
      <c r="H82" s="261">
        <f t="shared" si="45"/>
        <v>0</v>
      </c>
      <c r="I82" s="262">
        <f t="shared" si="58"/>
        <v>0</v>
      </c>
      <c r="J82" s="262">
        <f t="shared" si="59"/>
        <v>0</v>
      </c>
      <c r="K82" s="262">
        <f t="shared" si="60"/>
        <v>0</v>
      </c>
      <c r="L82" s="261">
        <f t="shared" si="61"/>
        <v>0</v>
      </c>
      <c r="M82" s="286">
        <f t="shared" si="62"/>
        <v>0</v>
      </c>
      <c r="N82" s="262">
        <f t="shared" si="51"/>
        <v>0</v>
      </c>
      <c r="O82" s="286" t="e">
        <f t="shared" si="52"/>
        <v>#DIV/0!</v>
      </c>
      <c r="P82" s="286" t="e">
        <f t="shared" si="53"/>
        <v>#DIV/0!</v>
      </c>
      <c r="Q82" s="258"/>
      <c r="R82" s="286" t="str">
        <f t="shared" si="54"/>
        <v/>
      </c>
      <c r="S82" s="286" t="str">
        <f t="shared" si="55"/>
        <v/>
      </c>
      <c r="T82" s="286" t="str">
        <f t="shared" si="56"/>
        <v/>
      </c>
      <c r="U82" s="287" t="str">
        <f t="shared" si="57"/>
        <v/>
      </c>
    </row>
    <row r="83" spans="1:21" x14ac:dyDescent="0.3">
      <c r="A83" s="263">
        <f>4</f>
        <v>4</v>
      </c>
      <c r="B83" s="38"/>
      <c r="C83" s="38"/>
      <c r="D83" s="276"/>
      <c r="E83" s="277"/>
      <c r="F83" s="38"/>
      <c r="G83" s="38"/>
      <c r="H83" s="261">
        <f t="shared" si="45"/>
        <v>0</v>
      </c>
      <c r="I83" s="262">
        <f t="shared" si="58"/>
        <v>0</v>
      </c>
      <c r="J83" s="262">
        <f t="shared" si="59"/>
        <v>0</v>
      </c>
      <c r="K83" s="262">
        <f t="shared" si="60"/>
        <v>0</v>
      </c>
      <c r="L83" s="261">
        <f t="shared" si="61"/>
        <v>0</v>
      </c>
      <c r="M83" s="286">
        <f t="shared" si="62"/>
        <v>0</v>
      </c>
      <c r="N83" s="262">
        <f t="shared" si="51"/>
        <v>0</v>
      </c>
      <c r="O83" s="286" t="e">
        <f t="shared" si="52"/>
        <v>#DIV/0!</v>
      </c>
      <c r="P83" s="286" t="e">
        <f t="shared" si="53"/>
        <v>#DIV/0!</v>
      </c>
      <c r="Q83" s="258"/>
      <c r="R83" s="286" t="str">
        <f t="shared" si="54"/>
        <v/>
      </c>
      <c r="S83" s="286" t="str">
        <f t="shared" si="55"/>
        <v/>
      </c>
      <c r="T83" s="286" t="str">
        <f t="shared" si="56"/>
        <v/>
      </c>
      <c r="U83" s="287" t="str">
        <f t="shared" si="57"/>
        <v/>
      </c>
    </row>
    <row r="84" spans="1:21" x14ac:dyDescent="0.3">
      <c r="A84" s="263">
        <f>4</f>
        <v>4</v>
      </c>
      <c r="B84" s="38"/>
      <c r="C84" s="38"/>
      <c r="D84" s="276"/>
      <c r="E84" s="277"/>
      <c r="F84" s="38"/>
      <c r="G84" s="38"/>
      <c r="H84" s="261">
        <f t="shared" si="45"/>
        <v>0</v>
      </c>
      <c r="I84" s="262">
        <f t="shared" si="58"/>
        <v>0</v>
      </c>
      <c r="J84" s="262">
        <f t="shared" si="59"/>
        <v>0</v>
      </c>
      <c r="K84" s="262">
        <f t="shared" si="60"/>
        <v>0</v>
      </c>
      <c r="L84" s="261">
        <f t="shared" si="61"/>
        <v>0</v>
      </c>
      <c r="M84" s="286">
        <f t="shared" si="62"/>
        <v>0</v>
      </c>
      <c r="N84" s="262">
        <f t="shared" si="51"/>
        <v>0</v>
      </c>
      <c r="O84" s="286" t="e">
        <f t="shared" si="52"/>
        <v>#DIV/0!</v>
      </c>
      <c r="P84" s="286" t="e">
        <f t="shared" si="53"/>
        <v>#DIV/0!</v>
      </c>
      <c r="Q84" s="258"/>
      <c r="R84" s="286" t="str">
        <f t="shared" si="54"/>
        <v/>
      </c>
      <c r="S84" s="286" t="str">
        <f t="shared" si="55"/>
        <v/>
      </c>
      <c r="T84" s="286" t="str">
        <f t="shared" si="56"/>
        <v/>
      </c>
      <c r="U84" s="287" t="str">
        <f t="shared" si="57"/>
        <v/>
      </c>
    </row>
    <row r="85" spans="1:21" x14ac:dyDescent="0.3">
      <c r="B85" s="4" t="s">
        <v>139</v>
      </c>
      <c r="C85" s="4"/>
      <c r="D85" s="4"/>
      <c r="E85" s="253">
        <f>COUNT(B75:B84)</f>
        <v>0</v>
      </c>
      <c r="F85" s="28"/>
      <c r="G85" s="28"/>
      <c r="H85" s="28"/>
      <c r="I85" s="28"/>
      <c r="J85" s="28"/>
      <c r="K85" s="28"/>
      <c r="O85" s="285" t="e">
        <f>SUM(O75:O84)</f>
        <v>#DIV/0!</v>
      </c>
      <c r="P85" s="285" t="e">
        <f>SUM(P75:P84)</f>
        <v>#DIV/0!</v>
      </c>
      <c r="Q85" s="26"/>
      <c r="R85" s="285">
        <f>SUM(R75:R84)</f>
        <v>0</v>
      </c>
      <c r="S85" s="284">
        <f>SUM(S75:S84)</f>
        <v>0</v>
      </c>
      <c r="T85" s="284">
        <f>SUM(T75:T84)</f>
        <v>0</v>
      </c>
      <c r="U85" s="284">
        <f>SUM(U75:U84)</f>
        <v>0</v>
      </c>
    </row>
    <row r="86" spans="1:21" x14ac:dyDescent="0.3">
      <c r="R86" s="51"/>
      <c r="S86" s="51"/>
      <c r="T86" s="51"/>
      <c r="U86" s="51"/>
    </row>
    <row r="87" spans="1:21" x14ac:dyDescent="0.3">
      <c r="R87" s="51"/>
      <c r="S87" s="51"/>
      <c r="T87" s="51"/>
      <c r="U87" s="51"/>
    </row>
    <row r="88" spans="1:21" x14ac:dyDescent="0.3">
      <c r="R88" s="51"/>
      <c r="S88" s="51"/>
      <c r="T88" s="51"/>
      <c r="U88" s="51"/>
    </row>
    <row r="89" spans="1:21" x14ac:dyDescent="0.3">
      <c r="A89" s="3"/>
      <c r="C89" s="119" t="s">
        <v>826</v>
      </c>
      <c r="D89" s="252"/>
      <c r="E89" s="279"/>
      <c r="F89" s="251" t="s">
        <v>825</v>
      </c>
      <c r="G89" s="87"/>
      <c r="H89" s="28"/>
      <c r="I89" s="28"/>
      <c r="J89" s="28"/>
      <c r="K89" s="28"/>
      <c r="M89" s="28"/>
      <c r="N89" s="270"/>
      <c r="O89" s="119" t="s">
        <v>803</v>
      </c>
      <c r="P89" s="271"/>
      <c r="Q89" s="30"/>
      <c r="R89" s="35"/>
      <c r="S89" s="243" t="s">
        <v>902</v>
      </c>
      <c r="T89" s="259"/>
      <c r="U89" s="255"/>
    </row>
    <row r="90" spans="1:21" ht="18.75" x14ac:dyDescent="0.3">
      <c r="A90" s="281" t="s">
        <v>135</v>
      </c>
      <c r="B90" s="266" t="s">
        <v>143</v>
      </c>
      <c r="C90" s="272" t="s">
        <v>412</v>
      </c>
      <c r="D90" s="274" t="s">
        <v>1031</v>
      </c>
      <c r="E90" s="275" t="s">
        <v>157</v>
      </c>
      <c r="F90" s="269" t="s">
        <v>1029</v>
      </c>
      <c r="G90" s="269" t="s">
        <v>1030</v>
      </c>
      <c r="H90" s="266" t="s">
        <v>413</v>
      </c>
      <c r="I90" s="266" t="s">
        <v>842</v>
      </c>
      <c r="J90" s="266" t="s">
        <v>841</v>
      </c>
      <c r="K90" s="266" t="s">
        <v>843</v>
      </c>
      <c r="L90" s="266" t="s">
        <v>153</v>
      </c>
      <c r="M90" s="266" t="s">
        <v>844</v>
      </c>
      <c r="N90" s="266" t="s">
        <v>840</v>
      </c>
      <c r="O90" s="269" t="s">
        <v>159</v>
      </c>
      <c r="P90" s="266" t="s">
        <v>160</v>
      </c>
      <c r="Q90" s="257" t="s">
        <v>824</v>
      </c>
      <c r="R90" s="266" t="s">
        <v>137</v>
      </c>
      <c r="S90" s="266" t="s">
        <v>138</v>
      </c>
      <c r="T90" s="266" t="s">
        <v>161</v>
      </c>
      <c r="U90" s="283" t="s">
        <v>162</v>
      </c>
    </row>
    <row r="91" spans="1:21" x14ac:dyDescent="0.3">
      <c r="A91" s="263">
        <f>5</f>
        <v>5</v>
      </c>
      <c r="B91" s="38"/>
      <c r="C91" s="38"/>
      <c r="D91" s="276"/>
      <c r="E91" s="277"/>
      <c r="F91" s="38"/>
      <c r="G91" s="38"/>
      <c r="H91" s="261">
        <f t="shared" ref="H91:H100" si="63">D91*0.5</f>
        <v>0</v>
      </c>
      <c r="I91" s="262">
        <f t="shared" ref="I91" si="64">(PI()*(H91*H91)*C91)/1000</f>
        <v>0</v>
      </c>
      <c r="J91" s="262">
        <f t="shared" ref="J91" si="65">((PI()/6)*(E91*F91*G91))/1000</f>
        <v>0</v>
      </c>
      <c r="K91" s="262">
        <f t="shared" ref="K91" si="66">J91+I91</f>
        <v>0</v>
      </c>
      <c r="L91" s="261">
        <f t="shared" ref="L91" si="67">IF(B91=1,$D$10,IF(B91=2,$D$11,IF(B91=3,$D$12,IF(B91=4,$D$13,))))</f>
        <v>0</v>
      </c>
      <c r="M91" s="286">
        <f t="shared" ref="M91" si="68">IF(B91=1,$G$10,IF(B91=2,$G$11,IF(B91=3,$G$12,IF(B91=4,$G$13,))))</f>
        <v>0</v>
      </c>
      <c r="N91" s="262">
        <f t="shared" ref="N91:N100" si="69">(K91*M91)*L91</f>
        <v>0</v>
      </c>
      <c r="O91" s="286" t="e">
        <f t="shared" ref="O91:O100" si="70">(N91)*(1/$B$6)</f>
        <v>#DIV/0!</v>
      </c>
      <c r="P91" s="286" t="e">
        <f t="shared" ref="P91:P100" si="71">O91/1000</f>
        <v>#DIV/0!</v>
      </c>
      <c r="Q91" s="258"/>
      <c r="R91" s="286" t="str">
        <f t="shared" ref="R91:R100" si="72">IF(B91=1, P91,"")</f>
        <v/>
      </c>
      <c r="S91" s="286" t="str">
        <f t="shared" ref="S91:S100" si="73">IF(B91=2, P91,"")</f>
        <v/>
      </c>
      <c r="T91" s="286" t="str">
        <f t="shared" ref="T91:T100" si="74">IF(B91=3, P91,"")</f>
        <v/>
      </c>
      <c r="U91" s="287" t="str">
        <f t="shared" ref="U91:U100" si="75">IF(B91=4, P91,"")</f>
        <v/>
      </c>
    </row>
    <row r="92" spans="1:21" x14ac:dyDescent="0.3">
      <c r="A92" s="263">
        <f>5</f>
        <v>5</v>
      </c>
      <c r="B92" s="38"/>
      <c r="C92" s="38"/>
      <c r="D92" s="276"/>
      <c r="E92" s="277"/>
      <c r="F92" s="38"/>
      <c r="G92" s="38"/>
      <c r="H92" s="261">
        <f t="shared" si="63"/>
        <v>0</v>
      </c>
      <c r="I92" s="262">
        <f t="shared" ref="I92:I100" si="76">(PI()*(H92*H92)*C92)/1000</f>
        <v>0</v>
      </c>
      <c r="J92" s="262">
        <f t="shared" ref="J92:J100" si="77">((PI()/6)*(E92*F92*G92))/1000</f>
        <v>0</v>
      </c>
      <c r="K92" s="262">
        <f t="shared" ref="K92:K100" si="78">J92+I92</f>
        <v>0</v>
      </c>
      <c r="L92" s="261">
        <f t="shared" ref="L92:L100" si="79">IF(B92=1,$D$10,IF(B92=2,$D$11,IF(B92=3,$D$12,IF(B92=4,$D$13,))))</f>
        <v>0</v>
      </c>
      <c r="M92" s="286">
        <f t="shared" ref="M92:M100" si="80">IF(B92=1,$G$10,IF(B92=2,$G$11,IF(B92=3,$G$12,IF(B92=4,$G$13,))))</f>
        <v>0</v>
      </c>
      <c r="N92" s="262">
        <f t="shared" si="69"/>
        <v>0</v>
      </c>
      <c r="O92" s="286" t="e">
        <f t="shared" si="70"/>
        <v>#DIV/0!</v>
      </c>
      <c r="P92" s="286" t="e">
        <f t="shared" si="71"/>
        <v>#DIV/0!</v>
      </c>
      <c r="Q92" s="258"/>
      <c r="R92" s="286" t="str">
        <f t="shared" si="72"/>
        <v/>
      </c>
      <c r="S92" s="286" t="str">
        <f t="shared" si="73"/>
        <v/>
      </c>
      <c r="T92" s="286" t="str">
        <f t="shared" si="74"/>
        <v/>
      </c>
      <c r="U92" s="287" t="str">
        <f t="shared" si="75"/>
        <v/>
      </c>
    </row>
    <row r="93" spans="1:21" x14ac:dyDescent="0.3">
      <c r="A93" s="263">
        <f>5</f>
        <v>5</v>
      </c>
      <c r="B93" s="38"/>
      <c r="C93" s="38"/>
      <c r="D93" s="276"/>
      <c r="E93" s="277"/>
      <c r="F93" s="38"/>
      <c r="G93" s="38"/>
      <c r="H93" s="261">
        <f t="shared" si="63"/>
        <v>0</v>
      </c>
      <c r="I93" s="262">
        <f t="shared" si="76"/>
        <v>0</v>
      </c>
      <c r="J93" s="262">
        <f t="shared" si="77"/>
        <v>0</v>
      </c>
      <c r="K93" s="262">
        <f t="shared" si="78"/>
        <v>0</v>
      </c>
      <c r="L93" s="261">
        <f t="shared" si="79"/>
        <v>0</v>
      </c>
      <c r="M93" s="286">
        <f t="shared" si="80"/>
        <v>0</v>
      </c>
      <c r="N93" s="262">
        <f t="shared" si="69"/>
        <v>0</v>
      </c>
      <c r="O93" s="286" t="e">
        <f t="shared" si="70"/>
        <v>#DIV/0!</v>
      </c>
      <c r="P93" s="286" t="e">
        <f t="shared" si="71"/>
        <v>#DIV/0!</v>
      </c>
      <c r="Q93" s="258"/>
      <c r="R93" s="286" t="str">
        <f t="shared" si="72"/>
        <v/>
      </c>
      <c r="S93" s="286" t="str">
        <f t="shared" si="73"/>
        <v/>
      </c>
      <c r="T93" s="286" t="str">
        <f t="shared" si="74"/>
        <v/>
      </c>
      <c r="U93" s="287" t="str">
        <f t="shared" si="75"/>
        <v/>
      </c>
    </row>
    <row r="94" spans="1:21" x14ac:dyDescent="0.3">
      <c r="A94" s="263">
        <f>5</f>
        <v>5</v>
      </c>
      <c r="B94" s="38"/>
      <c r="C94" s="38"/>
      <c r="D94" s="276"/>
      <c r="E94" s="277"/>
      <c r="F94" s="38"/>
      <c r="G94" s="38"/>
      <c r="H94" s="261">
        <f t="shared" si="63"/>
        <v>0</v>
      </c>
      <c r="I94" s="262">
        <f t="shared" si="76"/>
        <v>0</v>
      </c>
      <c r="J94" s="262">
        <f t="shared" si="77"/>
        <v>0</v>
      </c>
      <c r="K94" s="262">
        <f t="shared" si="78"/>
        <v>0</v>
      </c>
      <c r="L94" s="261">
        <f t="shared" si="79"/>
        <v>0</v>
      </c>
      <c r="M94" s="286">
        <f t="shared" si="80"/>
        <v>0</v>
      </c>
      <c r="N94" s="262">
        <f t="shared" si="69"/>
        <v>0</v>
      </c>
      <c r="O94" s="286" t="e">
        <f t="shared" si="70"/>
        <v>#DIV/0!</v>
      </c>
      <c r="P94" s="286" t="e">
        <f t="shared" si="71"/>
        <v>#DIV/0!</v>
      </c>
      <c r="Q94" s="258"/>
      <c r="R94" s="286" t="str">
        <f t="shared" si="72"/>
        <v/>
      </c>
      <c r="S94" s="286" t="str">
        <f t="shared" si="73"/>
        <v/>
      </c>
      <c r="T94" s="286" t="str">
        <f t="shared" si="74"/>
        <v/>
      </c>
      <c r="U94" s="287" t="str">
        <f t="shared" si="75"/>
        <v/>
      </c>
    </row>
    <row r="95" spans="1:21" x14ac:dyDescent="0.3">
      <c r="A95" s="263">
        <f>5</f>
        <v>5</v>
      </c>
      <c r="B95" s="38"/>
      <c r="C95" s="38"/>
      <c r="D95" s="276"/>
      <c r="E95" s="277"/>
      <c r="F95" s="38"/>
      <c r="G95" s="38"/>
      <c r="H95" s="261">
        <f t="shared" si="63"/>
        <v>0</v>
      </c>
      <c r="I95" s="262">
        <f t="shared" si="76"/>
        <v>0</v>
      </c>
      <c r="J95" s="262">
        <f t="shared" si="77"/>
        <v>0</v>
      </c>
      <c r="K95" s="262">
        <f t="shared" si="78"/>
        <v>0</v>
      </c>
      <c r="L95" s="261">
        <f t="shared" si="79"/>
        <v>0</v>
      </c>
      <c r="M95" s="286">
        <f t="shared" si="80"/>
        <v>0</v>
      </c>
      <c r="N95" s="262">
        <f t="shared" si="69"/>
        <v>0</v>
      </c>
      <c r="O95" s="286" t="e">
        <f t="shared" si="70"/>
        <v>#DIV/0!</v>
      </c>
      <c r="P95" s="286" t="e">
        <f t="shared" si="71"/>
        <v>#DIV/0!</v>
      </c>
      <c r="Q95" s="258"/>
      <c r="R95" s="286" t="str">
        <f t="shared" si="72"/>
        <v/>
      </c>
      <c r="S95" s="286" t="str">
        <f t="shared" si="73"/>
        <v/>
      </c>
      <c r="T95" s="286" t="str">
        <f t="shared" si="74"/>
        <v/>
      </c>
      <c r="U95" s="287" t="str">
        <f t="shared" si="75"/>
        <v/>
      </c>
    </row>
    <row r="96" spans="1:21" x14ac:dyDescent="0.3">
      <c r="A96" s="263">
        <f>5</f>
        <v>5</v>
      </c>
      <c r="B96" s="38"/>
      <c r="C96" s="38"/>
      <c r="D96" s="276"/>
      <c r="E96" s="277"/>
      <c r="F96" s="38"/>
      <c r="G96" s="38"/>
      <c r="H96" s="261">
        <f t="shared" si="63"/>
        <v>0</v>
      </c>
      <c r="I96" s="262">
        <f t="shared" si="76"/>
        <v>0</v>
      </c>
      <c r="J96" s="262">
        <f t="shared" si="77"/>
        <v>0</v>
      </c>
      <c r="K96" s="262">
        <f t="shared" si="78"/>
        <v>0</v>
      </c>
      <c r="L96" s="261">
        <f t="shared" si="79"/>
        <v>0</v>
      </c>
      <c r="M96" s="286">
        <f t="shared" si="80"/>
        <v>0</v>
      </c>
      <c r="N96" s="262">
        <f t="shared" si="69"/>
        <v>0</v>
      </c>
      <c r="O96" s="286" t="e">
        <f t="shared" si="70"/>
        <v>#DIV/0!</v>
      </c>
      <c r="P96" s="286" t="e">
        <f t="shared" si="71"/>
        <v>#DIV/0!</v>
      </c>
      <c r="Q96" s="258"/>
      <c r="R96" s="286" t="str">
        <f t="shared" si="72"/>
        <v/>
      </c>
      <c r="S96" s="286" t="str">
        <f t="shared" si="73"/>
        <v/>
      </c>
      <c r="T96" s="286" t="str">
        <f t="shared" si="74"/>
        <v/>
      </c>
      <c r="U96" s="287" t="str">
        <f t="shared" si="75"/>
        <v/>
      </c>
    </row>
    <row r="97" spans="1:21" x14ac:dyDescent="0.3">
      <c r="A97" s="263">
        <f>5</f>
        <v>5</v>
      </c>
      <c r="B97" s="38"/>
      <c r="C97" s="38"/>
      <c r="D97" s="276"/>
      <c r="E97" s="277"/>
      <c r="F97" s="38"/>
      <c r="G97" s="38"/>
      <c r="H97" s="261">
        <f t="shared" si="63"/>
        <v>0</v>
      </c>
      <c r="I97" s="262">
        <f t="shared" si="76"/>
        <v>0</v>
      </c>
      <c r="J97" s="262">
        <f t="shared" si="77"/>
        <v>0</v>
      </c>
      <c r="K97" s="262">
        <f t="shared" si="78"/>
        <v>0</v>
      </c>
      <c r="L97" s="261">
        <f t="shared" si="79"/>
        <v>0</v>
      </c>
      <c r="M97" s="286">
        <f t="shared" si="80"/>
        <v>0</v>
      </c>
      <c r="N97" s="262">
        <f t="shared" si="69"/>
        <v>0</v>
      </c>
      <c r="O97" s="286" t="e">
        <f t="shared" si="70"/>
        <v>#DIV/0!</v>
      </c>
      <c r="P97" s="286" t="e">
        <f t="shared" si="71"/>
        <v>#DIV/0!</v>
      </c>
      <c r="Q97" s="258"/>
      <c r="R97" s="286" t="str">
        <f t="shared" si="72"/>
        <v/>
      </c>
      <c r="S97" s="286" t="str">
        <f t="shared" si="73"/>
        <v/>
      </c>
      <c r="T97" s="286" t="str">
        <f t="shared" si="74"/>
        <v/>
      </c>
      <c r="U97" s="287" t="str">
        <f t="shared" si="75"/>
        <v/>
      </c>
    </row>
    <row r="98" spans="1:21" x14ac:dyDescent="0.3">
      <c r="A98" s="263">
        <f>5</f>
        <v>5</v>
      </c>
      <c r="B98" s="38"/>
      <c r="C98" s="38"/>
      <c r="D98" s="276"/>
      <c r="E98" s="277"/>
      <c r="F98" s="38"/>
      <c r="G98" s="38"/>
      <c r="H98" s="261">
        <f t="shared" si="63"/>
        <v>0</v>
      </c>
      <c r="I98" s="262">
        <f t="shared" si="76"/>
        <v>0</v>
      </c>
      <c r="J98" s="262">
        <f t="shared" si="77"/>
        <v>0</v>
      </c>
      <c r="K98" s="262">
        <f t="shared" si="78"/>
        <v>0</v>
      </c>
      <c r="L98" s="261">
        <f t="shared" si="79"/>
        <v>0</v>
      </c>
      <c r="M98" s="286">
        <f t="shared" si="80"/>
        <v>0</v>
      </c>
      <c r="N98" s="262">
        <f t="shared" si="69"/>
        <v>0</v>
      </c>
      <c r="O98" s="286" t="e">
        <f t="shared" si="70"/>
        <v>#DIV/0!</v>
      </c>
      <c r="P98" s="286" t="e">
        <f t="shared" si="71"/>
        <v>#DIV/0!</v>
      </c>
      <c r="Q98" s="258"/>
      <c r="R98" s="286" t="str">
        <f t="shared" si="72"/>
        <v/>
      </c>
      <c r="S98" s="286" t="str">
        <f t="shared" si="73"/>
        <v/>
      </c>
      <c r="T98" s="286" t="str">
        <f t="shared" si="74"/>
        <v/>
      </c>
      <c r="U98" s="287" t="str">
        <f t="shared" si="75"/>
        <v/>
      </c>
    </row>
    <row r="99" spans="1:21" ht="16.5" customHeight="1" x14ac:dyDescent="0.3">
      <c r="A99" s="263">
        <f>5</f>
        <v>5</v>
      </c>
      <c r="B99" s="38"/>
      <c r="C99" s="38"/>
      <c r="D99" s="276"/>
      <c r="E99" s="277"/>
      <c r="F99" s="38"/>
      <c r="G99" s="38"/>
      <c r="H99" s="261">
        <f t="shared" si="63"/>
        <v>0</v>
      </c>
      <c r="I99" s="262">
        <f t="shared" si="76"/>
        <v>0</v>
      </c>
      <c r="J99" s="262">
        <f t="shared" si="77"/>
        <v>0</v>
      </c>
      <c r="K99" s="262">
        <f t="shared" si="78"/>
        <v>0</v>
      </c>
      <c r="L99" s="261">
        <f t="shared" si="79"/>
        <v>0</v>
      </c>
      <c r="M99" s="286">
        <f t="shared" si="80"/>
        <v>0</v>
      </c>
      <c r="N99" s="262">
        <f t="shared" si="69"/>
        <v>0</v>
      </c>
      <c r="O99" s="286" t="e">
        <f t="shared" si="70"/>
        <v>#DIV/0!</v>
      </c>
      <c r="P99" s="286" t="e">
        <f t="shared" si="71"/>
        <v>#DIV/0!</v>
      </c>
      <c r="Q99" s="258"/>
      <c r="R99" s="286" t="str">
        <f t="shared" si="72"/>
        <v/>
      </c>
      <c r="S99" s="286" t="str">
        <f t="shared" si="73"/>
        <v/>
      </c>
      <c r="T99" s="286" t="str">
        <f t="shared" si="74"/>
        <v/>
      </c>
      <c r="U99" s="287" t="str">
        <f t="shared" si="75"/>
        <v/>
      </c>
    </row>
    <row r="100" spans="1:21" x14ac:dyDescent="0.3">
      <c r="A100" s="263">
        <f>5</f>
        <v>5</v>
      </c>
      <c r="B100" s="38"/>
      <c r="C100" s="38"/>
      <c r="D100" s="276"/>
      <c r="E100" s="277"/>
      <c r="F100" s="38"/>
      <c r="G100" s="38"/>
      <c r="H100" s="261">
        <f t="shared" si="63"/>
        <v>0</v>
      </c>
      <c r="I100" s="262">
        <f t="shared" si="76"/>
        <v>0</v>
      </c>
      <c r="J100" s="262">
        <f t="shared" si="77"/>
        <v>0</v>
      </c>
      <c r="K100" s="262">
        <f t="shared" si="78"/>
        <v>0</v>
      </c>
      <c r="L100" s="261">
        <f t="shared" si="79"/>
        <v>0</v>
      </c>
      <c r="M100" s="286">
        <f t="shared" si="80"/>
        <v>0</v>
      </c>
      <c r="N100" s="262">
        <f t="shared" si="69"/>
        <v>0</v>
      </c>
      <c r="O100" s="286" t="e">
        <f t="shared" si="70"/>
        <v>#DIV/0!</v>
      </c>
      <c r="P100" s="286" t="e">
        <f t="shared" si="71"/>
        <v>#DIV/0!</v>
      </c>
      <c r="Q100" s="258"/>
      <c r="R100" s="286" t="str">
        <f t="shared" si="72"/>
        <v/>
      </c>
      <c r="S100" s="286" t="str">
        <f t="shared" si="73"/>
        <v/>
      </c>
      <c r="T100" s="286" t="str">
        <f t="shared" si="74"/>
        <v/>
      </c>
      <c r="U100" s="287" t="str">
        <f t="shared" si="75"/>
        <v/>
      </c>
    </row>
    <row r="101" spans="1:21" x14ac:dyDescent="0.3">
      <c r="B101" s="4" t="s">
        <v>139</v>
      </c>
      <c r="C101" s="4"/>
      <c r="D101" s="4"/>
      <c r="E101" s="253">
        <f>COUNT(B91:B100)</f>
        <v>0</v>
      </c>
      <c r="F101" s="28"/>
      <c r="G101" s="28"/>
      <c r="H101" s="28"/>
      <c r="I101" s="28"/>
      <c r="J101" s="28"/>
      <c r="K101" s="28"/>
      <c r="O101" s="285" t="e">
        <f>SUM(O91:O100)</f>
        <v>#DIV/0!</v>
      </c>
      <c r="P101" s="285" t="e">
        <f>SUM(P91:P100)</f>
        <v>#DIV/0!</v>
      </c>
      <c r="Q101" s="26"/>
      <c r="R101" s="285">
        <f>SUM(R91:R100)</f>
        <v>0</v>
      </c>
      <c r="S101" s="284">
        <f>SUM(S91:S100)</f>
        <v>0</v>
      </c>
      <c r="T101" s="284">
        <f>SUM(T91:T100)</f>
        <v>0</v>
      </c>
      <c r="U101" s="284">
        <f>SUM(U91:U100)</f>
        <v>0</v>
      </c>
    </row>
    <row r="102" spans="1:21" x14ac:dyDescent="0.3">
      <c r="R102" s="51"/>
      <c r="S102" s="51"/>
      <c r="T102" s="51"/>
      <c r="U102" s="51"/>
    </row>
    <row r="103" spans="1:21" x14ac:dyDescent="0.3">
      <c r="R103" s="51"/>
      <c r="S103" s="51"/>
      <c r="T103" s="51"/>
      <c r="U103" s="51"/>
    </row>
    <row r="104" spans="1:21" x14ac:dyDescent="0.3">
      <c r="R104" s="51"/>
      <c r="S104" s="51"/>
      <c r="T104" s="51"/>
      <c r="U104" s="51"/>
    </row>
    <row r="105" spans="1:21" x14ac:dyDescent="0.3">
      <c r="A105" s="3"/>
      <c r="C105" s="119" t="s">
        <v>826</v>
      </c>
      <c r="D105" s="252"/>
      <c r="E105" s="279"/>
      <c r="F105" s="251" t="s">
        <v>825</v>
      </c>
      <c r="G105" s="87"/>
      <c r="H105" s="28"/>
      <c r="I105" s="28"/>
      <c r="J105" s="28"/>
      <c r="K105" s="28"/>
      <c r="M105" s="28"/>
      <c r="N105" s="270"/>
      <c r="O105" s="119" t="s">
        <v>803</v>
      </c>
      <c r="P105" s="271"/>
      <c r="Q105" s="30"/>
      <c r="R105" s="35"/>
      <c r="S105" s="243" t="s">
        <v>902</v>
      </c>
      <c r="T105" s="259"/>
      <c r="U105" s="255"/>
    </row>
    <row r="106" spans="1:21" ht="18.75" x14ac:dyDescent="0.3">
      <c r="A106" s="281" t="s">
        <v>135</v>
      </c>
      <c r="B106" s="266" t="s">
        <v>143</v>
      </c>
      <c r="C106" s="272" t="s">
        <v>412</v>
      </c>
      <c r="D106" s="274" t="s">
        <v>1031</v>
      </c>
      <c r="E106" s="275" t="s">
        <v>157</v>
      </c>
      <c r="F106" s="269" t="s">
        <v>1029</v>
      </c>
      <c r="G106" s="269" t="s">
        <v>1030</v>
      </c>
      <c r="H106" s="266" t="s">
        <v>413</v>
      </c>
      <c r="I106" s="266" t="s">
        <v>842</v>
      </c>
      <c r="J106" s="266" t="s">
        <v>841</v>
      </c>
      <c r="K106" s="266" t="s">
        <v>843</v>
      </c>
      <c r="L106" s="266" t="s">
        <v>153</v>
      </c>
      <c r="M106" s="266" t="s">
        <v>844</v>
      </c>
      <c r="N106" s="266" t="s">
        <v>840</v>
      </c>
      <c r="O106" s="269" t="s">
        <v>159</v>
      </c>
      <c r="P106" s="266" t="s">
        <v>160</v>
      </c>
      <c r="Q106" s="257" t="s">
        <v>824</v>
      </c>
      <c r="R106" s="266" t="s">
        <v>137</v>
      </c>
      <c r="S106" s="266" t="s">
        <v>138</v>
      </c>
      <c r="T106" s="266" t="s">
        <v>161</v>
      </c>
      <c r="U106" s="283" t="s">
        <v>162</v>
      </c>
    </row>
    <row r="107" spans="1:21" x14ac:dyDescent="0.3">
      <c r="A107" s="263">
        <f>6</f>
        <v>6</v>
      </c>
      <c r="B107" s="38"/>
      <c r="C107" s="38"/>
      <c r="D107" s="276"/>
      <c r="E107" s="277"/>
      <c r="F107" s="38"/>
      <c r="G107" s="38"/>
      <c r="H107" s="261">
        <f t="shared" ref="H107:H116" si="81">D107*0.5</f>
        <v>0</v>
      </c>
      <c r="I107" s="262">
        <f t="shared" ref="I107" si="82">(PI()*(H107*H107)*C107)/1000</f>
        <v>0</v>
      </c>
      <c r="J107" s="262">
        <f t="shared" ref="J107" si="83">((PI()/6)*(E107*F107*G107))/1000</f>
        <v>0</v>
      </c>
      <c r="K107" s="262">
        <f t="shared" ref="K107" si="84">J107+I107</f>
        <v>0</v>
      </c>
      <c r="L107" s="261">
        <f t="shared" ref="L107" si="85">IF(B107=1,$D$10,IF(B107=2,$D$11,IF(B107=3,$D$12,IF(B107=4,$D$13,))))</f>
        <v>0</v>
      </c>
      <c r="M107" s="286">
        <f t="shared" ref="M107" si="86">IF(B107=1,$G$10,IF(B107=2,$G$11,IF(B107=3,$G$12,IF(B107=4,$G$13,))))</f>
        <v>0</v>
      </c>
      <c r="N107" s="262">
        <f t="shared" ref="N107:N116" si="87">(K107*M107)*L107</f>
        <v>0</v>
      </c>
      <c r="O107" s="286" t="e">
        <f t="shared" ref="O107:O116" si="88">(N107)*(1/$B$6)</f>
        <v>#DIV/0!</v>
      </c>
      <c r="P107" s="286" t="e">
        <f t="shared" ref="P107:P116" si="89">O107/1000</f>
        <v>#DIV/0!</v>
      </c>
      <c r="Q107" s="258"/>
      <c r="R107" s="286" t="str">
        <f t="shared" ref="R107:R116" si="90">IF(B107=1, P107,"")</f>
        <v/>
      </c>
      <c r="S107" s="286" t="str">
        <f t="shared" ref="S107:S116" si="91">IF(B107=2, P107,"")</f>
        <v/>
      </c>
      <c r="T107" s="286" t="str">
        <f t="shared" ref="T107:T116" si="92">IF(B107=3, P107,"")</f>
        <v/>
      </c>
      <c r="U107" s="287" t="str">
        <f t="shared" ref="U107:U116" si="93">IF(B107=4, P107,"")</f>
        <v/>
      </c>
    </row>
    <row r="108" spans="1:21" x14ac:dyDescent="0.3">
      <c r="A108" s="263">
        <f>6</f>
        <v>6</v>
      </c>
      <c r="B108" s="38"/>
      <c r="C108" s="38"/>
      <c r="D108" s="276"/>
      <c r="E108" s="277"/>
      <c r="F108" s="38"/>
      <c r="G108" s="38"/>
      <c r="H108" s="261">
        <f t="shared" si="81"/>
        <v>0</v>
      </c>
      <c r="I108" s="262">
        <f t="shared" ref="I108:I116" si="94">(PI()*(H108*H108)*C108)/1000</f>
        <v>0</v>
      </c>
      <c r="J108" s="262">
        <f t="shared" ref="J108:J116" si="95">((PI()/6)*(E108*F108*G108))/1000</f>
        <v>0</v>
      </c>
      <c r="K108" s="262">
        <f t="shared" ref="K108:K116" si="96">J108+I108</f>
        <v>0</v>
      </c>
      <c r="L108" s="261">
        <f t="shared" ref="L108:L116" si="97">IF(B108=1,$D$10,IF(B108=2,$D$11,IF(B108=3,$D$12,IF(B108=4,$D$13,))))</f>
        <v>0</v>
      </c>
      <c r="M108" s="286">
        <f t="shared" ref="M108:M116" si="98">IF(B108=1,$G$10,IF(B108=2,$G$11,IF(B108=3,$G$12,IF(B108=4,$G$13,))))</f>
        <v>0</v>
      </c>
      <c r="N108" s="262">
        <f t="shared" si="87"/>
        <v>0</v>
      </c>
      <c r="O108" s="286" t="e">
        <f t="shared" si="88"/>
        <v>#DIV/0!</v>
      </c>
      <c r="P108" s="286" t="e">
        <f t="shared" si="89"/>
        <v>#DIV/0!</v>
      </c>
      <c r="Q108" s="258"/>
      <c r="R108" s="286" t="str">
        <f t="shared" si="90"/>
        <v/>
      </c>
      <c r="S108" s="286" t="str">
        <f t="shared" si="91"/>
        <v/>
      </c>
      <c r="T108" s="286" t="str">
        <f t="shared" si="92"/>
        <v/>
      </c>
      <c r="U108" s="287" t="str">
        <f t="shared" si="93"/>
        <v/>
      </c>
    </row>
    <row r="109" spans="1:21" x14ac:dyDescent="0.3">
      <c r="A109" s="263">
        <f>6</f>
        <v>6</v>
      </c>
      <c r="B109" s="38"/>
      <c r="C109" s="38"/>
      <c r="D109" s="276"/>
      <c r="E109" s="277"/>
      <c r="F109" s="38"/>
      <c r="G109" s="38"/>
      <c r="H109" s="261">
        <f t="shared" si="81"/>
        <v>0</v>
      </c>
      <c r="I109" s="262">
        <f t="shared" si="94"/>
        <v>0</v>
      </c>
      <c r="J109" s="262">
        <f t="shared" si="95"/>
        <v>0</v>
      </c>
      <c r="K109" s="262">
        <f t="shared" si="96"/>
        <v>0</v>
      </c>
      <c r="L109" s="261">
        <f t="shared" si="97"/>
        <v>0</v>
      </c>
      <c r="M109" s="286">
        <f t="shared" si="98"/>
        <v>0</v>
      </c>
      <c r="N109" s="262">
        <f t="shared" si="87"/>
        <v>0</v>
      </c>
      <c r="O109" s="286" t="e">
        <f t="shared" si="88"/>
        <v>#DIV/0!</v>
      </c>
      <c r="P109" s="286" t="e">
        <f t="shared" si="89"/>
        <v>#DIV/0!</v>
      </c>
      <c r="Q109" s="258"/>
      <c r="R109" s="286" t="str">
        <f t="shared" si="90"/>
        <v/>
      </c>
      <c r="S109" s="286" t="str">
        <f t="shared" si="91"/>
        <v/>
      </c>
      <c r="T109" s="286" t="str">
        <f t="shared" si="92"/>
        <v/>
      </c>
      <c r="U109" s="287" t="str">
        <f t="shared" si="93"/>
        <v/>
      </c>
    </row>
    <row r="110" spans="1:21" x14ac:dyDescent="0.3">
      <c r="A110" s="263">
        <f>6</f>
        <v>6</v>
      </c>
      <c r="B110" s="38"/>
      <c r="C110" s="38"/>
      <c r="D110" s="276"/>
      <c r="E110" s="277"/>
      <c r="F110" s="38"/>
      <c r="G110" s="38"/>
      <c r="H110" s="261">
        <f t="shared" si="81"/>
        <v>0</v>
      </c>
      <c r="I110" s="262">
        <f t="shared" si="94"/>
        <v>0</v>
      </c>
      <c r="J110" s="262">
        <f t="shared" si="95"/>
        <v>0</v>
      </c>
      <c r="K110" s="262">
        <f t="shared" si="96"/>
        <v>0</v>
      </c>
      <c r="L110" s="261">
        <f t="shared" si="97"/>
        <v>0</v>
      </c>
      <c r="M110" s="286">
        <f t="shared" si="98"/>
        <v>0</v>
      </c>
      <c r="N110" s="262">
        <f t="shared" si="87"/>
        <v>0</v>
      </c>
      <c r="O110" s="286" t="e">
        <f t="shared" si="88"/>
        <v>#DIV/0!</v>
      </c>
      <c r="P110" s="286" t="e">
        <f t="shared" si="89"/>
        <v>#DIV/0!</v>
      </c>
      <c r="Q110" s="258"/>
      <c r="R110" s="286" t="str">
        <f t="shared" si="90"/>
        <v/>
      </c>
      <c r="S110" s="286" t="str">
        <f t="shared" si="91"/>
        <v/>
      </c>
      <c r="T110" s="286" t="str">
        <f t="shared" si="92"/>
        <v/>
      </c>
      <c r="U110" s="287" t="str">
        <f t="shared" si="93"/>
        <v/>
      </c>
    </row>
    <row r="111" spans="1:21" x14ac:dyDescent="0.3">
      <c r="A111" s="263">
        <f>6</f>
        <v>6</v>
      </c>
      <c r="B111" s="38"/>
      <c r="C111" s="38"/>
      <c r="D111" s="276"/>
      <c r="E111" s="277"/>
      <c r="F111" s="38"/>
      <c r="G111" s="38"/>
      <c r="H111" s="261">
        <f t="shared" si="81"/>
        <v>0</v>
      </c>
      <c r="I111" s="262">
        <f t="shared" si="94"/>
        <v>0</v>
      </c>
      <c r="J111" s="262">
        <f t="shared" si="95"/>
        <v>0</v>
      </c>
      <c r="K111" s="262">
        <f t="shared" si="96"/>
        <v>0</v>
      </c>
      <c r="L111" s="261">
        <f t="shared" si="97"/>
        <v>0</v>
      </c>
      <c r="M111" s="286">
        <f t="shared" si="98"/>
        <v>0</v>
      </c>
      <c r="N111" s="262">
        <f t="shared" si="87"/>
        <v>0</v>
      </c>
      <c r="O111" s="286" t="e">
        <f t="shared" si="88"/>
        <v>#DIV/0!</v>
      </c>
      <c r="P111" s="286" t="e">
        <f t="shared" si="89"/>
        <v>#DIV/0!</v>
      </c>
      <c r="Q111" s="258"/>
      <c r="R111" s="286" t="str">
        <f t="shared" si="90"/>
        <v/>
      </c>
      <c r="S111" s="286" t="str">
        <f t="shared" si="91"/>
        <v/>
      </c>
      <c r="T111" s="286" t="str">
        <f t="shared" si="92"/>
        <v/>
      </c>
      <c r="U111" s="287" t="str">
        <f t="shared" si="93"/>
        <v/>
      </c>
    </row>
    <row r="112" spans="1:21" x14ac:dyDescent="0.3">
      <c r="A112" s="263">
        <f>6</f>
        <v>6</v>
      </c>
      <c r="B112" s="38"/>
      <c r="C112" s="38"/>
      <c r="D112" s="276"/>
      <c r="E112" s="277"/>
      <c r="F112" s="38"/>
      <c r="G112" s="38"/>
      <c r="H112" s="261">
        <f t="shared" si="81"/>
        <v>0</v>
      </c>
      <c r="I112" s="262">
        <f t="shared" si="94"/>
        <v>0</v>
      </c>
      <c r="J112" s="262">
        <f t="shared" si="95"/>
        <v>0</v>
      </c>
      <c r="K112" s="262">
        <f t="shared" si="96"/>
        <v>0</v>
      </c>
      <c r="L112" s="261">
        <f t="shared" si="97"/>
        <v>0</v>
      </c>
      <c r="M112" s="286">
        <f t="shared" si="98"/>
        <v>0</v>
      </c>
      <c r="N112" s="262">
        <f t="shared" si="87"/>
        <v>0</v>
      </c>
      <c r="O112" s="286" t="e">
        <f t="shared" si="88"/>
        <v>#DIV/0!</v>
      </c>
      <c r="P112" s="286" t="e">
        <f t="shared" si="89"/>
        <v>#DIV/0!</v>
      </c>
      <c r="Q112" s="258"/>
      <c r="R112" s="286" t="str">
        <f t="shared" si="90"/>
        <v/>
      </c>
      <c r="S112" s="286" t="str">
        <f t="shared" si="91"/>
        <v/>
      </c>
      <c r="T112" s="286" t="str">
        <f t="shared" si="92"/>
        <v/>
      </c>
      <c r="U112" s="287" t="str">
        <f t="shared" si="93"/>
        <v/>
      </c>
    </row>
    <row r="113" spans="1:21" x14ac:dyDescent="0.3">
      <c r="A113" s="263">
        <f>6</f>
        <v>6</v>
      </c>
      <c r="B113" s="38"/>
      <c r="C113" s="38"/>
      <c r="D113" s="276"/>
      <c r="E113" s="277"/>
      <c r="F113" s="38"/>
      <c r="G113" s="38"/>
      <c r="H113" s="261">
        <f t="shared" si="81"/>
        <v>0</v>
      </c>
      <c r="I113" s="262">
        <f t="shared" si="94"/>
        <v>0</v>
      </c>
      <c r="J113" s="262">
        <f t="shared" si="95"/>
        <v>0</v>
      </c>
      <c r="K113" s="262">
        <f t="shared" si="96"/>
        <v>0</v>
      </c>
      <c r="L113" s="261">
        <f t="shared" si="97"/>
        <v>0</v>
      </c>
      <c r="M113" s="286">
        <f t="shared" si="98"/>
        <v>0</v>
      </c>
      <c r="N113" s="262">
        <f t="shared" si="87"/>
        <v>0</v>
      </c>
      <c r="O113" s="286" t="e">
        <f t="shared" si="88"/>
        <v>#DIV/0!</v>
      </c>
      <c r="P113" s="286" t="e">
        <f t="shared" si="89"/>
        <v>#DIV/0!</v>
      </c>
      <c r="Q113" s="258"/>
      <c r="R113" s="286" t="str">
        <f t="shared" si="90"/>
        <v/>
      </c>
      <c r="S113" s="286" t="str">
        <f t="shared" si="91"/>
        <v/>
      </c>
      <c r="T113" s="286" t="str">
        <f t="shared" si="92"/>
        <v/>
      </c>
      <c r="U113" s="287" t="str">
        <f t="shared" si="93"/>
        <v/>
      </c>
    </row>
    <row r="114" spans="1:21" x14ac:dyDescent="0.3">
      <c r="A114" s="263">
        <f>6</f>
        <v>6</v>
      </c>
      <c r="B114" s="38"/>
      <c r="C114" s="38"/>
      <c r="D114" s="276"/>
      <c r="E114" s="277"/>
      <c r="F114" s="38"/>
      <c r="G114" s="38"/>
      <c r="H114" s="261">
        <f t="shared" si="81"/>
        <v>0</v>
      </c>
      <c r="I114" s="262">
        <f t="shared" si="94"/>
        <v>0</v>
      </c>
      <c r="J114" s="262">
        <f t="shared" si="95"/>
        <v>0</v>
      </c>
      <c r="K114" s="262">
        <f t="shared" si="96"/>
        <v>0</v>
      </c>
      <c r="L114" s="261">
        <f t="shared" si="97"/>
        <v>0</v>
      </c>
      <c r="M114" s="286">
        <f t="shared" si="98"/>
        <v>0</v>
      </c>
      <c r="N114" s="262">
        <f t="shared" si="87"/>
        <v>0</v>
      </c>
      <c r="O114" s="286" t="e">
        <f t="shared" si="88"/>
        <v>#DIV/0!</v>
      </c>
      <c r="P114" s="286" t="e">
        <f t="shared" si="89"/>
        <v>#DIV/0!</v>
      </c>
      <c r="Q114" s="258"/>
      <c r="R114" s="286" t="str">
        <f t="shared" si="90"/>
        <v/>
      </c>
      <c r="S114" s="286" t="str">
        <f t="shared" si="91"/>
        <v/>
      </c>
      <c r="T114" s="286" t="str">
        <f t="shared" si="92"/>
        <v/>
      </c>
      <c r="U114" s="287" t="str">
        <f t="shared" si="93"/>
        <v/>
      </c>
    </row>
    <row r="115" spans="1:21" x14ac:dyDescent="0.3">
      <c r="A115" s="263">
        <f>6</f>
        <v>6</v>
      </c>
      <c r="B115" s="38"/>
      <c r="C115" s="38"/>
      <c r="D115" s="276"/>
      <c r="E115" s="277"/>
      <c r="F115" s="38"/>
      <c r="G115" s="38"/>
      <c r="H115" s="261">
        <f t="shared" si="81"/>
        <v>0</v>
      </c>
      <c r="I115" s="262">
        <f t="shared" si="94"/>
        <v>0</v>
      </c>
      <c r="J115" s="262">
        <f t="shared" si="95"/>
        <v>0</v>
      </c>
      <c r="K115" s="262">
        <f t="shared" si="96"/>
        <v>0</v>
      </c>
      <c r="L115" s="261">
        <f t="shared" si="97"/>
        <v>0</v>
      </c>
      <c r="M115" s="286">
        <f t="shared" si="98"/>
        <v>0</v>
      </c>
      <c r="N115" s="262">
        <f t="shared" si="87"/>
        <v>0</v>
      </c>
      <c r="O115" s="286" t="e">
        <f t="shared" si="88"/>
        <v>#DIV/0!</v>
      </c>
      <c r="P115" s="286" t="e">
        <f t="shared" si="89"/>
        <v>#DIV/0!</v>
      </c>
      <c r="Q115" s="258"/>
      <c r="R115" s="286" t="str">
        <f t="shared" si="90"/>
        <v/>
      </c>
      <c r="S115" s="286" t="str">
        <f t="shared" si="91"/>
        <v/>
      </c>
      <c r="T115" s="286" t="str">
        <f t="shared" si="92"/>
        <v/>
      </c>
      <c r="U115" s="287" t="str">
        <f t="shared" si="93"/>
        <v/>
      </c>
    </row>
    <row r="116" spans="1:21" x14ac:dyDescent="0.3">
      <c r="A116" s="263">
        <f>6</f>
        <v>6</v>
      </c>
      <c r="B116" s="38"/>
      <c r="C116" s="38"/>
      <c r="D116" s="276"/>
      <c r="E116" s="277"/>
      <c r="F116" s="38"/>
      <c r="G116" s="38"/>
      <c r="H116" s="261">
        <f t="shared" si="81"/>
        <v>0</v>
      </c>
      <c r="I116" s="262">
        <f t="shared" si="94"/>
        <v>0</v>
      </c>
      <c r="J116" s="262">
        <f t="shared" si="95"/>
        <v>0</v>
      </c>
      <c r="K116" s="262">
        <f t="shared" si="96"/>
        <v>0</v>
      </c>
      <c r="L116" s="261">
        <f t="shared" si="97"/>
        <v>0</v>
      </c>
      <c r="M116" s="286">
        <f t="shared" si="98"/>
        <v>0</v>
      </c>
      <c r="N116" s="262">
        <f t="shared" si="87"/>
        <v>0</v>
      </c>
      <c r="O116" s="286" t="e">
        <f t="shared" si="88"/>
        <v>#DIV/0!</v>
      </c>
      <c r="P116" s="286" t="e">
        <f t="shared" si="89"/>
        <v>#DIV/0!</v>
      </c>
      <c r="Q116" s="258"/>
      <c r="R116" s="286" t="str">
        <f t="shared" si="90"/>
        <v/>
      </c>
      <c r="S116" s="286" t="str">
        <f t="shared" si="91"/>
        <v/>
      </c>
      <c r="T116" s="286" t="str">
        <f t="shared" si="92"/>
        <v/>
      </c>
      <c r="U116" s="287" t="str">
        <f t="shared" si="93"/>
        <v/>
      </c>
    </row>
    <row r="117" spans="1:21" x14ac:dyDescent="0.3">
      <c r="B117" s="4" t="s">
        <v>139</v>
      </c>
      <c r="C117" s="4"/>
      <c r="D117" s="4"/>
      <c r="E117" s="253">
        <f>COUNT(B107:B116)</f>
        <v>0</v>
      </c>
      <c r="F117" s="28"/>
      <c r="G117" s="28"/>
      <c r="H117" s="28"/>
      <c r="I117" s="28"/>
      <c r="J117" s="28"/>
      <c r="K117" s="28"/>
      <c r="O117" s="285" t="e">
        <f>SUM(O107:O116)</f>
        <v>#DIV/0!</v>
      </c>
      <c r="P117" s="285" t="e">
        <f>SUM(P107:P116)</f>
        <v>#DIV/0!</v>
      </c>
      <c r="Q117" s="26"/>
      <c r="R117" s="285">
        <f>SUM(R107:R116)</f>
        <v>0</v>
      </c>
      <c r="S117" s="284">
        <f>SUM(S107:S116)</f>
        <v>0</v>
      </c>
      <c r="T117" s="284">
        <f>SUM(T107:T116)</f>
        <v>0</v>
      </c>
      <c r="U117" s="284">
        <f>SUM(U107:U116)</f>
        <v>0</v>
      </c>
    </row>
    <row r="118" spans="1:21" x14ac:dyDescent="0.3">
      <c r="R118" s="51"/>
      <c r="S118" s="51"/>
      <c r="T118" s="51"/>
      <c r="U118" s="51"/>
    </row>
    <row r="119" spans="1:21" x14ac:dyDescent="0.3">
      <c r="R119" s="51"/>
      <c r="S119" s="51"/>
      <c r="T119" s="51"/>
      <c r="U119" s="51"/>
    </row>
    <row r="120" spans="1:21" x14ac:dyDescent="0.3">
      <c r="R120" s="51"/>
      <c r="S120" s="51"/>
      <c r="T120" s="51"/>
      <c r="U120" s="51"/>
    </row>
    <row r="121" spans="1:21" x14ac:dyDescent="0.3">
      <c r="A121" s="3"/>
      <c r="C121" s="119" t="s">
        <v>826</v>
      </c>
      <c r="D121" s="252"/>
      <c r="E121" s="279"/>
      <c r="F121" s="251" t="s">
        <v>825</v>
      </c>
      <c r="G121" s="87"/>
      <c r="H121" s="28"/>
      <c r="I121" s="28"/>
      <c r="J121" s="28"/>
      <c r="K121" s="28"/>
      <c r="M121" s="28"/>
      <c r="N121" s="270"/>
      <c r="O121" s="119" t="s">
        <v>803</v>
      </c>
      <c r="P121" s="271"/>
      <c r="Q121" s="30"/>
      <c r="R121" s="35"/>
      <c r="S121" s="243" t="s">
        <v>902</v>
      </c>
      <c r="T121" s="259"/>
      <c r="U121" s="255"/>
    </row>
    <row r="122" spans="1:21" ht="18.75" x14ac:dyDescent="0.3">
      <c r="A122" s="281" t="s">
        <v>135</v>
      </c>
      <c r="B122" s="266" t="s">
        <v>143</v>
      </c>
      <c r="C122" s="272" t="s">
        <v>412</v>
      </c>
      <c r="D122" s="274" t="s">
        <v>1031</v>
      </c>
      <c r="E122" s="275" t="s">
        <v>157</v>
      </c>
      <c r="F122" s="269" t="s">
        <v>1029</v>
      </c>
      <c r="G122" s="269" t="s">
        <v>1030</v>
      </c>
      <c r="H122" s="266" t="s">
        <v>413</v>
      </c>
      <c r="I122" s="266" t="s">
        <v>842</v>
      </c>
      <c r="J122" s="266" t="s">
        <v>841</v>
      </c>
      <c r="K122" s="266" t="s">
        <v>843</v>
      </c>
      <c r="L122" s="266" t="s">
        <v>153</v>
      </c>
      <c r="M122" s="266" t="s">
        <v>844</v>
      </c>
      <c r="N122" s="266" t="s">
        <v>840</v>
      </c>
      <c r="O122" s="269" t="s">
        <v>159</v>
      </c>
      <c r="P122" s="266" t="s">
        <v>160</v>
      </c>
      <c r="Q122" s="257" t="s">
        <v>824</v>
      </c>
      <c r="R122" s="266" t="s">
        <v>137</v>
      </c>
      <c r="S122" s="266" t="s">
        <v>138</v>
      </c>
      <c r="T122" s="266" t="s">
        <v>161</v>
      </c>
      <c r="U122" s="283" t="s">
        <v>162</v>
      </c>
    </row>
    <row r="123" spans="1:21" x14ac:dyDescent="0.3">
      <c r="A123" s="263">
        <f>7</f>
        <v>7</v>
      </c>
      <c r="B123" s="38"/>
      <c r="C123" s="38"/>
      <c r="D123" s="276"/>
      <c r="E123" s="277"/>
      <c r="F123" s="38"/>
      <c r="G123" s="38"/>
      <c r="H123" s="261">
        <f t="shared" ref="H123:H132" si="99">D123*0.5</f>
        <v>0</v>
      </c>
      <c r="I123" s="262">
        <f t="shared" ref="I123" si="100">(PI()*(H123*H123)*C123)/1000</f>
        <v>0</v>
      </c>
      <c r="J123" s="262">
        <f t="shared" ref="J123" si="101">((PI()/6)*(E123*F123*G123))/1000</f>
        <v>0</v>
      </c>
      <c r="K123" s="262">
        <f t="shared" ref="K123" si="102">J123+I123</f>
        <v>0</v>
      </c>
      <c r="L123" s="261">
        <f t="shared" ref="L123" si="103">IF(B123=1,$D$10,IF(B123=2,$D$11,IF(B123=3,$D$12,IF(B123=4,$D$13,))))</f>
        <v>0</v>
      </c>
      <c r="M123" s="286">
        <f t="shared" ref="M123" si="104">IF(B123=1,$G$10,IF(B123=2,$G$11,IF(B123=3,$G$12,IF(B123=4,$G$13,))))</f>
        <v>0</v>
      </c>
      <c r="N123" s="262">
        <f t="shared" ref="N123:N132" si="105">(K123*M123)*L123</f>
        <v>0</v>
      </c>
      <c r="O123" s="286" t="e">
        <f t="shared" ref="O123:O132" si="106">(N123)*(1/$B$6)</f>
        <v>#DIV/0!</v>
      </c>
      <c r="P123" s="286" t="e">
        <f t="shared" ref="P123:P132" si="107">O123/1000</f>
        <v>#DIV/0!</v>
      </c>
      <c r="Q123" s="258"/>
      <c r="R123" s="286" t="str">
        <f t="shared" ref="R123:R132" si="108">IF(B123=1, P123,"")</f>
        <v/>
      </c>
      <c r="S123" s="286" t="str">
        <f t="shared" ref="S123:S132" si="109">IF(B123=2, P123,"")</f>
        <v/>
      </c>
      <c r="T123" s="286" t="str">
        <f t="shared" ref="T123:T132" si="110">IF(B123=3, P123,"")</f>
        <v/>
      </c>
      <c r="U123" s="287" t="str">
        <f t="shared" ref="U123:U132" si="111">IF(B123=4, P123,"")</f>
        <v/>
      </c>
    </row>
    <row r="124" spans="1:21" x14ac:dyDescent="0.3">
      <c r="A124" s="263">
        <f>7</f>
        <v>7</v>
      </c>
      <c r="B124" s="38"/>
      <c r="C124" s="38"/>
      <c r="D124" s="276"/>
      <c r="E124" s="277"/>
      <c r="F124" s="38"/>
      <c r="G124" s="38"/>
      <c r="H124" s="261">
        <f t="shared" si="99"/>
        <v>0</v>
      </c>
      <c r="I124" s="262">
        <f t="shared" ref="I124:I132" si="112">(PI()*(H124*H124)*C124)/1000</f>
        <v>0</v>
      </c>
      <c r="J124" s="262">
        <f t="shared" ref="J124:J132" si="113">((PI()/6)*(E124*F124*G124))/1000</f>
        <v>0</v>
      </c>
      <c r="K124" s="262">
        <f t="shared" ref="K124:K132" si="114">J124+I124</f>
        <v>0</v>
      </c>
      <c r="L124" s="261">
        <f t="shared" ref="L124:L132" si="115">IF(B124=1,$D$10,IF(B124=2,$D$11,IF(B124=3,$D$12,IF(B124=4,$D$13,))))</f>
        <v>0</v>
      </c>
      <c r="M124" s="286">
        <f t="shared" ref="M124:M132" si="116">IF(B124=1,$G$10,IF(B124=2,$G$11,IF(B124=3,$G$12,IF(B124=4,$G$13,))))</f>
        <v>0</v>
      </c>
      <c r="N124" s="262">
        <f t="shared" si="105"/>
        <v>0</v>
      </c>
      <c r="O124" s="286" t="e">
        <f t="shared" si="106"/>
        <v>#DIV/0!</v>
      </c>
      <c r="P124" s="286" t="e">
        <f t="shared" si="107"/>
        <v>#DIV/0!</v>
      </c>
      <c r="Q124" s="258"/>
      <c r="R124" s="286" t="str">
        <f t="shared" si="108"/>
        <v/>
      </c>
      <c r="S124" s="286" t="str">
        <f t="shared" si="109"/>
        <v/>
      </c>
      <c r="T124" s="286" t="str">
        <f t="shared" si="110"/>
        <v/>
      </c>
      <c r="U124" s="287" t="str">
        <f t="shared" si="111"/>
        <v/>
      </c>
    </row>
    <row r="125" spans="1:21" x14ac:dyDescent="0.3">
      <c r="A125" s="263">
        <f>7</f>
        <v>7</v>
      </c>
      <c r="B125" s="38"/>
      <c r="C125" s="38"/>
      <c r="D125" s="276"/>
      <c r="E125" s="277"/>
      <c r="F125" s="38"/>
      <c r="G125" s="38"/>
      <c r="H125" s="261">
        <f t="shared" si="99"/>
        <v>0</v>
      </c>
      <c r="I125" s="262">
        <f t="shared" si="112"/>
        <v>0</v>
      </c>
      <c r="J125" s="262">
        <f t="shared" si="113"/>
        <v>0</v>
      </c>
      <c r="K125" s="262">
        <f t="shared" si="114"/>
        <v>0</v>
      </c>
      <c r="L125" s="261">
        <f t="shared" si="115"/>
        <v>0</v>
      </c>
      <c r="M125" s="286">
        <f t="shared" si="116"/>
        <v>0</v>
      </c>
      <c r="N125" s="262">
        <f t="shared" si="105"/>
        <v>0</v>
      </c>
      <c r="O125" s="286" t="e">
        <f t="shared" si="106"/>
        <v>#DIV/0!</v>
      </c>
      <c r="P125" s="286" t="e">
        <f t="shared" si="107"/>
        <v>#DIV/0!</v>
      </c>
      <c r="Q125" s="258"/>
      <c r="R125" s="286" t="str">
        <f t="shared" si="108"/>
        <v/>
      </c>
      <c r="S125" s="286" t="str">
        <f t="shared" si="109"/>
        <v/>
      </c>
      <c r="T125" s="286" t="str">
        <f t="shared" si="110"/>
        <v/>
      </c>
      <c r="U125" s="287" t="str">
        <f t="shared" si="111"/>
        <v/>
      </c>
    </row>
    <row r="126" spans="1:21" x14ac:dyDescent="0.3">
      <c r="A126" s="263">
        <f>7</f>
        <v>7</v>
      </c>
      <c r="B126" s="38"/>
      <c r="C126" s="38"/>
      <c r="D126" s="276"/>
      <c r="E126" s="277"/>
      <c r="F126" s="38"/>
      <c r="G126" s="38"/>
      <c r="H126" s="261">
        <f t="shared" si="99"/>
        <v>0</v>
      </c>
      <c r="I126" s="262">
        <f t="shared" si="112"/>
        <v>0</v>
      </c>
      <c r="J126" s="262">
        <f t="shared" si="113"/>
        <v>0</v>
      </c>
      <c r="K126" s="262">
        <f t="shared" si="114"/>
        <v>0</v>
      </c>
      <c r="L126" s="261">
        <f t="shared" si="115"/>
        <v>0</v>
      </c>
      <c r="M126" s="286">
        <f t="shared" si="116"/>
        <v>0</v>
      </c>
      <c r="N126" s="262">
        <f t="shared" si="105"/>
        <v>0</v>
      </c>
      <c r="O126" s="286" t="e">
        <f t="shared" si="106"/>
        <v>#DIV/0!</v>
      </c>
      <c r="P126" s="286" t="e">
        <f t="shared" si="107"/>
        <v>#DIV/0!</v>
      </c>
      <c r="Q126" s="258"/>
      <c r="R126" s="286" t="str">
        <f t="shared" si="108"/>
        <v/>
      </c>
      <c r="S126" s="286" t="str">
        <f t="shared" si="109"/>
        <v/>
      </c>
      <c r="T126" s="286" t="str">
        <f t="shared" si="110"/>
        <v/>
      </c>
      <c r="U126" s="287" t="str">
        <f t="shared" si="111"/>
        <v/>
      </c>
    </row>
    <row r="127" spans="1:21" x14ac:dyDescent="0.3">
      <c r="A127" s="263">
        <f>7</f>
        <v>7</v>
      </c>
      <c r="B127" s="38"/>
      <c r="C127" s="38"/>
      <c r="D127" s="276"/>
      <c r="E127" s="277"/>
      <c r="F127" s="38"/>
      <c r="G127" s="38"/>
      <c r="H127" s="261">
        <f t="shared" si="99"/>
        <v>0</v>
      </c>
      <c r="I127" s="262">
        <f t="shared" si="112"/>
        <v>0</v>
      </c>
      <c r="J127" s="262">
        <f t="shared" si="113"/>
        <v>0</v>
      </c>
      <c r="K127" s="262">
        <f t="shared" si="114"/>
        <v>0</v>
      </c>
      <c r="L127" s="261">
        <f t="shared" si="115"/>
        <v>0</v>
      </c>
      <c r="M127" s="286">
        <f t="shared" si="116"/>
        <v>0</v>
      </c>
      <c r="N127" s="262">
        <f t="shared" si="105"/>
        <v>0</v>
      </c>
      <c r="O127" s="286" t="e">
        <f t="shared" si="106"/>
        <v>#DIV/0!</v>
      </c>
      <c r="P127" s="286" t="e">
        <f t="shared" si="107"/>
        <v>#DIV/0!</v>
      </c>
      <c r="Q127" s="258"/>
      <c r="R127" s="286" t="str">
        <f t="shared" si="108"/>
        <v/>
      </c>
      <c r="S127" s="286" t="str">
        <f t="shared" si="109"/>
        <v/>
      </c>
      <c r="T127" s="286" t="str">
        <f t="shared" si="110"/>
        <v/>
      </c>
      <c r="U127" s="287" t="str">
        <f t="shared" si="111"/>
        <v/>
      </c>
    </row>
    <row r="128" spans="1:21" x14ac:dyDescent="0.3">
      <c r="A128" s="263">
        <f>7</f>
        <v>7</v>
      </c>
      <c r="B128" s="38"/>
      <c r="C128" s="38"/>
      <c r="D128" s="276"/>
      <c r="E128" s="277"/>
      <c r="F128" s="38"/>
      <c r="G128" s="38"/>
      <c r="H128" s="261">
        <f t="shared" si="99"/>
        <v>0</v>
      </c>
      <c r="I128" s="262">
        <f t="shared" si="112"/>
        <v>0</v>
      </c>
      <c r="J128" s="262">
        <f t="shared" si="113"/>
        <v>0</v>
      </c>
      <c r="K128" s="262">
        <f t="shared" si="114"/>
        <v>0</v>
      </c>
      <c r="L128" s="261">
        <f t="shared" si="115"/>
        <v>0</v>
      </c>
      <c r="M128" s="286">
        <f t="shared" si="116"/>
        <v>0</v>
      </c>
      <c r="N128" s="262">
        <f t="shared" si="105"/>
        <v>0</v>
      </c>
      <c r="O128" s="286" t="e">
        <f t="shared" si="106"/>
        <v>#DIV/0!</v>
      </c>
      <c r="P128" s="286" t="e">
        <f t="shared" si="107"/>
        <v>#DIV/0!</v>
      </c>
      <c r="Q128" s="258"/>
      <c r="R128" s="286" t="str">
        <f t="shared" si="108"/>
        <v/>
      </c>
      <c r="S128" s="286" t="str">
        <f t="shared" si="109"/>
        <v/>
      </c>
      <c r="T128" s="286" t="str">
        <f t="shared" si="110"/>
        <v/>
      </c>
      <c r="U128" s="287" t="str">
        <f t="shared" si="111"/>
        <v/>
      </c>
    </row>
    <row r="129" spans="1:21" x14ac:dyDescent="0.3">
      <c r="A129" s="263">
        <f>7</f>
        <v>7</v>
      </c>
      <c r="B129" s="38"/>
      <c r="C129" s="38"/>
      <c r="D129" s="276"/>
      <c r="E129" s="277"/>
      <c r="F129" s="38"/>
      <c r="G129" s="38"/>
      <c r="H129" s="261">
        <f t="shared" si="99"/>
        <v>0</v>
      </c>
      <c r="I129" s="262">
        <f t="shared" si="112"/>
        <v>0</v>
      </c>
      <c r="J129" s="262">
        <f t="shared" si="113"/>
        <v>0</v>
      </c>
      <c r="K129" s="262">
        <f t="shared" si="114"/>
        <v>0</v>
      </c>
      <c r="L129" s="261">
        <f t="shared" si="115"/>
        <v>0</v>
      </c>
      <c r="M129" s="286">
        <f t="shared" si="116"/>
        <v>0</v>
      </c>
      <c r="N129" s="262">
        <f t="shared" si="105"/>
        <v>0</v>
      </c>
      <c r="O129" s="286" t="e">
        <f t="shared" si="106"/>
        <v>#DIV/0!</v>
      </c>
      <c r="P129" s="286" t="e">
        <f t="shared" si="107"/>
        <v>#DIV/0!</v>
      </c>
      <c r="Q129" s="258"/>
      <c r="R129" s="286" t="str">
        <f t="shared" si="108"/>
        <v/>
      </c>
      <c r="S129" s="286" t="str">
        <f t="shared" si="109"/>
        <v/>
      </c>
      <c r="T129" s="286" t="str">
        <f t="shared" si="110"/>
        <v/>
      </c>
      <c r="U129" s="287" t="str">
        <f t="shared" si="111"/>
        <v/>
      </c>
    </row>
    <row r="130" spans="1:21" x14ac:dyDescent="0.3">
      <c r="A130" s="263">
        <f>7</f>
        <v>7</v>
      </c>
      <c r="B130" s="38"/>
      <c r="C130" s="38"/>
      <c r="D130" s="276"/>
      <c r="E130" s="277"/>
      <c r="F130" s="38"/>
      <c r="G130" s="38"/>
      <c r="H130" s="261">
        <f t="shared" si="99"/>
        <v>0</v>
      </c>
      <c r="I130" s="262">
        <f t="shared" si="112"/>
        <v>0</v>
      </c>
      <c r="J130" s="262">
        <f t="shared" si="113"/>
        <v>0</v>
      </c>
      <c r="K130" s="262">
        <f t="shared" si="114"/>
        <v>0</v>
      </c>
      <c r="L130" s="261">
        <f t="shared" si="115"/>
        <v>0</v>
      </c>
      <c r="M130" s="286">
        <f t="shared" si="116"/>
        <v>0</v>
      </c>
      <c r="N130" s="262">
        <f t="shared" si="105"/>
        <v>0</v>
      </c>
      <c r="O130" s="286" t="e">
        <f t="shared" si="106"/>
        <v>#DIV/0!</v>
      </c>
      <c r="P130" s="286" t="e">
        <f t="shared" si="107"/>
        <v>#DIV/0!</v>
      </c>
      <c r="Q130" s="258"/>
      <c r="R130" s="286" t="str">
        <f t="shared" si="108"/>
        <v/>
      </c>
      <c r="S130" s="286" t="str">
        <f t="shared" si="109"/>
        <v/>
      </c>
      <c r="T130" s="286" t="str">
        <f t="shared" si="110"/>
        <v/>
      </c>
      <c r="U130" s="287" t="str">
        <f t="shared" si="111"/>
        <v/>
      </c>
    </row>
    <row r="131" spans="1:21" x14ac:dyDescent="0.3">
      <c r="A131" s="263">
        <f>7</f>
        <v>7</v>
      </c>
      <c r="B131" s="38"/>
      <c r="C131" s="38"/>
      <c r="D131" s="276"/>
      <c r="E131" s="277"/>
      <c r="F131" s="38"/>
      <c r="G131" s="38"/>
      <c r="H131" s="261">
        <f t="shared" si="99"/>
        <v>0</v>
      </c>
      <c r="I131" s="262">
        <f t="shared" si="112"/>
        <v>0</v>
      </c>
      <c r="J131" s="262">
        <f t="shared" si="113"/>
        <v>0</v>
      </c>
      <c r="K131" s="262">
        <f t="shared" si="114"/>
        <v>0</v>
      </c>
      <c r="L131" s="261">
        <f t="shared" si="115"/>
        <v>0</v>
      </c>
      <c r="M131" s="286">
        <f t="shared" si="116"/>
        <v>0</v>
      </c>
      <c r="N131" s="262">
        <f t="shared" si="105"/>
        <v>0</v>
      </c>
      <c r="O131" s="286" t="e">
        <f t="shared" si="106"/>
        <v>#DIV/0!</v>
      </c>
      <c r="P131" s="286" t="e">
        <f t="shared" si="107"/>
        <v>#DIV/0!</v>
      </c>
      <c r="Q131" s="258"/>
      <c r="R131" s="286" t="str">
        <f t="shared" si="108"/>
        <v/>
      </c>
      <c r="S131" s="286" t="str">
        <f t="shared" si="109"/>
        <v/>
      </c>
      <c r="T131" s="286" t="str">
        <f t="shared" si="110"/>
        <v/>
      </c>
      <c r="U131" s="287" t="str">
        <f t="shared" si="111"/>
        <v/>
      </c>
    </row>
    <row r="132" spans="1:21" x14ac:dyDescent="0.3">
      <c r="A132" s="263">
        <f>7</f>
        <v>7</v>
      </c>
      <c r="B132" s="38"/>
      <c r="C132" s="38"/>
      <c r="D132" s="276"/>
      <c r="E132" s="277"/>
      <c r="F132" s="38"/>
      <c r="G132" s="38"/>
      <c r="H132" s="261">
        <f t="shared" si="99"/>
        <v>0</v>
      </c>
      <c r="I132" s="262">
        <f t="shared" si="112"/>
        <v>0</v>
      </c>
      <c r="J132" s="262">
        <f t="shared" si="113"/>
        <v>0</v>
      </c>
      <c r="K132" s="262">
        <f t="shared" si="114"/>
        <v>0</v>
      </c>
      <c r="L132" s="261">
        <f t="shared" si="115"/>
        <v>0</v>
      </c>
      <c r="M132" s="286">
        <f t="shared" si="116"/>
        <v>0</v>
      </c>
      <c r="N132" s="262">
        <f t="shared" si="105"/>
        <v>0</v>
      </c>
      <c r="O132" s="286" t="e">
        <f t="shared" si="106"/>
        <v>#DIV/0!</v>
      </c>
      <c r="P132" s="286" t="e">
        <f t="shared" si="107"/>
        <v>#DIV/0!</v>
      </c>
      <c r="Q132" s="258"/>
      <c r="R132" s="286" t="str">
        <f t="shared" si="108"/>
        <v/>
      </c>
      <c r="S132" s="286" t="str">
        <f t="shared" si="109"/>
        <v/>
      </c>
      <c r="T132" s="286" t="str">
        <f t="shared" si="110"/>
        <v/>
      </c>
      <c r="U132" s="287" t="str">
        <f t="shared" si="111"/>
        <v/>
      </c>
    </row>
    <row r="133" spans="1:21" x14ac:dyDescent="0.3">
      <c r="B133" s="4" t="s">
        <v>139</v>
      </c>
      <c r="C133" s="4"/>
      <c r="D133" s="4"/>
      <c r="E133" s="253">
        <f>COUNT(B123:B132)</f>
        <v>0</v>
      </c>
      <c r="F133" s="28"/>
      <c r="G133" s="28"/>
      <c r="H133" s="28"/>
      <c r="I133" s="28"/>
      <c r="J133" s="28"/>
      <c r="K133" s="28"/>
      <c r="O133" s="285" t="e">
        <f>SUM(O123:O132)</f>
        <v>#DIV/0!</v>
      </c>
      <c r="P133" s="285" t="e">
        <f>SUM(P123:P132)</f>
        <v>#DIV/0!</v>
      </c>
      <c r="Q133" s="26"/>
      <c r="R133" s="285">
        <f>SUM(R123:R132)</f>
        <v>0</v>
      </c>
      <c r="S133" s="284">
        <f>SUM(S123:S132)</f>
        <v>0</v>
      </c>
      <c r="T133" s="284">
        <f>SUM(T123:T132)</f>
        <v>0</v>
      </c>
      <c r="U133" s="284">
        <f>SUM(U123:U132)</f>
        <v>0</v>
      </c>
    </row>
    <row r="134" spans="1:21" x14ac:dyDescent="0.3">
      <c r="R134" s="51"/>
      <c r="S134" s="51"/>
      <c r="T134" s="51"/>
      <c r="U134" s="51"/>
    </row>
    <row r="135" spans="1:21" x14ac:dyDescent="0.3">
      <c r="R135" s="51"/>
      <c r="S135" s="51"/>
      <c r="T135" s="51"/>
      <c r="U135" s="51"/>
    </row>
    <row r="136" spans="1:21" x14ac:dyDescent="0.3">
      <c r="R136" s="51"/>
      <c r="S136" s="51"/>
      <c r="T136" s="51"/>
      <c r="U136" s="51"/>
    </row>
    <row r="137" spans="1:21" x14ac:dyDescent="0.3">
      <c r="A137" s="3"/>
      <c r="C137" s="119" t="s">
        <v>826</v>
      </c>
      <c r="D137" s="252"/>
      <c r="E137" s="279"/>
      <c r="F137" s="251" t="s">
        <v>825</v>
      </c>
      <c r="G137" s="87"/>
      <c r="H137" s="28"/>
      <c r="I137" s="28"/>
      <c r="J137" s="28"/>
      <c r="K137" s="28"/>
      <c r="M137" s="28"/>
      <c r="N137" s="270"/>
      <c r="O137" s="119" t="s">
        <v>803</v>
      </c>
      <c r="P137" s="271"/>
      <c r="Q137" s="30"/>
      <c r="R137" s="35"/>
      <c r="S137" s="243" t="s">
        <v>902</v>
      </c>
      <c r="T137" s="259"/>
      <c r="U137" s="255"/>
    </row>
    <row r="138" spans="1:21" ht="18.75" x14ac:dyDescent="0.3">
      <c r="A138" s="281" t="s">
        <v>135</v>
      </c>
      <c r="B138" s="266" t="s">
        <v>143</v>
      </c>
      <c r="C138" s="272" t="s">
        <v>412</v>
      </c>
      <c r="D138" s="274" t="s">
        <v>1031</v>
      </c>
      <c r="E138" s="275" t="s">
        <v>157</v>
      </c>
      <c r="F138" s="269" t="s">
        <v>1029</v>
      </c>
      <c r="G138" s="269" t="s">
        <v>1030</v>
      </c>
      <c r="H138" s="266" t="s">
        <v>413</v>
      </c>
      <c r="I138" s="266" t="s">
        <v>842</v>
      </c>
      <c r="J138" s="266" t="s">
        <v>841</v>
      </c>
      <c r="K138" s="266" t="s">
        <v>843</v>
      </c>
      <c r="L138" s="266" t="s">
        <v>153</v>
      </c>
      <c r="M138" s="266" t="s">
        <v>844</v>
      </c>
      <c r="N138" s="266" t="s">
        <v>840</v>
      </c>
      <c r="O138" s="269" t="s">
        <v>159</v>
      </c>
      <c r="P138" s="266" t="s">
        <v>160</v>
      </c>
      <c r="Q138" s="257" t="s">
        <v>824</v>
      </c>
      <c r="R138" s="266" t="s">
        <v>137</v>
      </c>
      <c r="S138" s="266" t="s">
        <v>138</v>
      </c>
      <c r="T138" s="266" t="s">
        <v>161</v>
      </c>
      <c r="U138" s="283" t="s">
        <v>162</v>
      </c>
    </row>
    <row r="139" spans="1:21" x14ac:dyDescent="0.3">
      <c r="A139" s="263">
        <f>8</f>
        <v>8</v>
      </c>
      <c r="B139" s="38"/>
      <c r="C139" s="38"/>
      <c r="D139" s="276"/>
      <c r="E139" s="277"/>
      <c r="F139" s="38"/>
      <c r="G139" s="38"/>
      <c r="H139" s="261">
        <f t="shared" ref="H139:H148" si="117">D139*0.5</f>
        <v>0</v>
      </c>
      <c r="I139" s="262">
        <f t="shared" ref="I139" si="118">(PI()*(H139*H139)*C139)/1000</f>
        <v>0</v>
      </c>
      <c r="J139" s="262">
        <f t="shared" ref="J139" si="119">((PI()/6)*(E139*F139*G139))/1000</f>
        <v>0</v>
      </c>
      <c r="K139" s="262">
        <f t="shared" ref="K139" si="120">J139+I139</f>
        <v>0</v>
      </c>
      <c r="L139" s="261">
        <f t="shared" ref="L139" si="121">IF(B139=1,$D$10,IF(B139=2,$D$11,IF(B139=3,$D$12,IF(B139=4,$D$13,))))</f>
        <v>0</v>
      </c>
      <c r="M139" s="286">
        <f t="shared" ref="M139" si="122">IF(B139=1,$G$10,IF(B139=2,$G$11,IF(B139=3,$G$12,IF(B139=4,$G$13,))))</f>
        <v>0</v>
      </c>
      <c r="N139" s="262">
        <f t="shared" ref="N139:N148" si="123">(K139*M139)*L139</f>
        <v>0</v>
      </c>
      <c r="O139" s="286" t="e">
        <f t="shared" ref="O139:O148" si="124">(N139)*(1/$B$6)</f>
        <v>#DIV/0!</v>
      </c>
      <c r="P139" s="286" t="e">
        <f t="shared" ref="P139:P148" si="125">O139/1000</f>
        <v>#DIV/0!</v>
      </c>
      <c r="Q139" s="258"/>
      <c r="R139" s="286" t="str">
        <f t="shared" ref="R139:R148" si="126">IF(B139=1, P139,"")</f>
        <v/>
      </c>
      <c r="S139" s="286" t="str">
        <f t="shared" ref="S139:S148" si="127">IF(B139=2, P139,"")</f>
        <v/>
      </c>
      <c r="T139" s="286" t="str">
        <f t="shared" ref="T139:T148" si="128">IF(B139=3, P139,"")</f>
        <v/>
      </c>
      <c r="U139" s="287" t="str">
        <f t="shared" ref="U139:U148" si="129">IF(B139=4, P139,"")</f>
        <v/>
      </c>
    </row>
    <row r="140" spans="1:21" x14ac:dyDescent="0.3">
      <c r="A140" s="263">
        <f>8</f>
        <v>8</v>
      </c>
      <c r="B140" s="38"/>
      <c r="C140" s="38"/>
      <c r="D140" s="276"/>
      <c r="E140" s="277"/>
      <c r="F140" s="38"/>
      <c r="G140" s="38"/>
      <c r="H140" s="261">
        <f t="shared" si="117"/>
        <v>0</v>
      </c>
      <c r="I140" s="262">
        <f t="shared" ref="I140:I148" si="130">(PI()*(H140*H140)*C140)/1000</f>
        <v>0</v>
      </c>
      <c r="J140" s="262">
        <f t="shared" ref="J140:J148" si="131">((PI()/6)*(E140*F140*G140))/1000</f>
        <v>0</v>
      </c>
      <c r="K140" s="262">
        <f t="shared" ref="K140:K148" si="132">J140+I140</f>
        <v>0</v>
      </c>
      <c r="L140" s="261">
        <f t="shared" ref="L140:L148" si="133">IF(B140=1,$D$10,IF(B140=2,$D$11,IF(B140=3,$D$12,IF(B140=4,$D$13,))))</f>
        <v>0</v>
      </c>
      <c r="M140" s="286">
        <f t="shared" ref="M140:M148" si="134">IF(B140=1,$G$10,IF(B140=2,$G$11,IF(B140=3,$G$12,IF(B140=4,$G$13,))))</f>
        <v>0</v>
      </c>
      <c r="N140" s="262">
        <f t="shared" si="123"/>
        <v>0</v>
      </c>
      <c r="O140" s="286" t="e">
        <f t="shared" si="124"/>
        <v>#DIV/0!</v>
      </c>
      <c r="P140" s="286" t="e">
        <f t="shared" si="125"/>
        <v>#DIV/0!</v>
      </c>
      <c r="Q140" s="258"/>
      <c r="R140" s="286" t="str">
        <f t="shared" si="126"/>
        <v/>
      </c>
      <c r="S140" s="286" t="str">
        <f t="shared" si="127"/>
        <v/>
      </c>
      <c r="T140" s="286" t="str">
        <f t="shared" si="128"/>
        <v/>
      </c>
      <c r="U140" s="287" t="str">
        <f t="shared" si="129"/>
        <v/>
      </c>
    </row>
    <row r="141" spans="1:21" x14ac:dyDescent="0.3">
      <c r="A141" s="263">
        <f>8</f>
        <v>8</v>
      </c>
      <c r="B141" s="38"/>
      <c r="C141" s="38"/>
      <c r="D141" s="276"/>
      <c r="E141" s="277"/>
      <c r="F141" s="38"/>
      <c r="G141" s="38"/>
      <c r="H141" s="261">
        <f t="shared" si="117"/>
        <v>0</v>
      </c>
      <c r="I141" s="262">
        <f t="shared" si="130"/>
        <v>0</v>
      </c>
      <c r="J141" s="262">
        <f t="shared" si="131"/>
        <v>0</v>
      </c>
      <c r="K141" s="262">
        <f t="shared" si="132"/>
        <v>0</v>
      </c>
      <c r="L141" s="261">
        <f t="shared" si="133"/>
        <v>0</v>
      </c>
      <c r="M141" s="286">
        <f t="shared" si="134"/>
        <v>0</v>
      </c>
      <c r="N141" s="262">
        <f t="shared" si="123"/>
        <v>0</v>
      </c>
      <c r="O141" s="286" t="e">
        <f t="shared" si="124"/>
        <v>#DIV/0!</v>
      </c>
      <c r="P141" s="286" t="e">
        <f t="shared" si="125"/>
        <v>#DIV/0!</v>
      </c>
      <c r="Q141" s="258"/>
      <c r="R141" s="286" t="str">
        <f t="shared" si="126"/>
        <v/>
      </c>
      <c r="S141" s="286" t="str">
        <f t="shared" si="127"/>
        <v/>
      </c>
      <c r="T141" s="286" t="str">
        <f t="shared" si="128"/>
        <v/>
      </c>
      <c r="U141" s="287" t="str">
        <f t="shared" si="129"/>
        <v/>
      </c>
    </row>
    <row r="142" spans="1:21" x14ac:dyDescent="0.3">
      <c r="A142" s="263">
        <f>8</f>
        <v>8</v>
      </c>
      <c r="B142" s="38"/>
      <c r="C142" s="38"/>
      <c r="D142" s="276"/>
      <c r="E142" s="277"/>
      <c r="F142" s="38"/>
      <c r="G142" s="38"/>
      <c r="H142" s="261">
        <f t="shared" si="117"/>
        <v>0</v>
      </c>
      <c r="I142" s="262">
        <f t="shared" si="130"/>
        <v>0</v>
      </c>
      <c r="J142" s="262">
        <f t="shared" si="131"/>
        <v>0</v>
      </c>
      <c r="K142" s="262">
        <f t="shared" si="132"/>
        <v>0</v>
      </c>
      <c r="L142" s="261">
        <f t="shared" si="133"/>
        <v>0</v>
      </c>
      <c r="M142" s="286">
        <f t="shared" si="134"/>
        <v>0</v>
      </c>
      <c r="N142" s="262">
        <f t="shared" si="123"/>
        <v>0</v>
      </c>
      <c r="O142" s="286" t="e">
        <f t="shared" si="124"/>
        <v>#DIV/0!</v>
      </c>
      <c r="P142" s="286" t="e">
        <f t="shared" si="125"/>
        <v>#DIV/0!</v>
      </c>
      <c r="Q142" s="258"/>
      <c r="R142" s="286" t="str">
        <f t="shared" si="126"/>
        <v/>
      </c>
      <c r="S142" s="286" t="str">
        <f t="shared" si="127"/>
        <v/>
      </c>
      <c r="T142" s="286" t="str">
        <f t="shared" si="128"/>
        <v/>
      </c>
      <c r="U142" s="287" t="str">
        <f t="shared" si="129"/>
        <v/>
      </c>
    </row>
    <row r="143" spans="1:21" x14ac:dyDescent="0.3">
      <c r="A143" s="263">
        <f>8</f>
        <v>8</v>
      </c>
      <c r="B143" s="38"/>
      <c r="C143" s="38"/>
      <c r="D143" s="276"/>
      <c r="E143" s="277"/>
      <c r="F143" s="38"/>
      <c r="G143" s="38"/>
      <c r="H143" s="261">
        <f t="shared" si="117"/>
        <v>0</v>
      </c>
      <c r="I143" s="262">
        <f t="shared" si="130"/>
        <v>0</v>
      </c>
      <c r="J143" s="262">
        <f t="shared" si="131"/>
        <v>0</v>
      </c>
      <c r="K143" s="262">
        <f t="shared" si="132"/>
        <v>0</v>
      </c>
      <c r="L143" s="261">
        <f t="shared" si="133"/>
        <v>0</v>
      </c>
      <c r="M143" s="286">
        <f t="shared" si="134"/>
        <v>0</v>
      </c>
      <c r="N143" s="262">
        <f t="shared" si="123"/>
        <v>0</v>
      </c>
      <c r="O143" s="286" t="e">
        <f t="shared" si="124"/>
        <v>#DIV/0!</v>
      </c>
      <c r="P143" s="286" t="e">
        <f t="shared" si="125"/>
        <v>#DIV/0!</v>
      </c>
      <c r="Q143" s="258"/>
      <c r="R143" s="286" t="str">
        <f t="shared" si="126"/>
        <v/>
      </c>
      <c r="S143" s="286" t="str">
        <f t="shared" si="127"/>
        <v/>
      </c>
      <c r="T143" s="286" t="str">
        <f t="shared" si="128"/>
        <v/>
      </c>
      <c r="U143" s="287" t="str">
        <f t="shared" si="129"/>
        <v/>
      </c>
    </row>
    <row r="144" spans="1:21" x14ac:dyDescent="0.3">
      <c r="A144" s="263">
        <f>8</f>
        <v>8</v>
      </c>
      <c r="B144" s="38"/>
      <c r="C144" s="38"/>
      <c r="D144" s="276"/>
      <c r="E144" s="277"/>
      <c r="F144" s="38"/>
      <c r="G144" s="38"/>
      <c r="H144" s="261">
        <f t="shared" si="117"/>
        <v>0</v>
      </c>
      <c r="I144" s="262">
        <f t="shared" si="130"/>
        <v>0</v>
      </c>
      <c r="J144" s="262">
        <f t="shared" si="131"/>
        <v>0</v>
      </c>
      <c r="K144" s="262">
        <f t="shared" si="132"/>
        <v>0</v>
      </c>
      <c r="L144" s="261">
        <f t="shared" si="133"/>
        <v>0</v>
      </c>
      <c r="M144" s="286">
        <f t="shared" si="134"/>
        <v>0</v>
      </c>
      <c r="N144" s="262">
        <f t="shared" si="123"/>
        <v>0</v>
      </c>
      <c r="O144" s="286" t="e">
        <f t="shared" si="124"/>
        <v>#DIV/0!</v>
      </c>
      <c r="P144" s="286" t="e">
        <f t="shared" si="125"/>
        <v>#DIV/0!</v>
      </c>
      <c r="Q144" s="258"/>
      <c r="R144" s="286" t="str">
        <f t="shared" si="126"/>
        <v/>
      </c>
      <c r="S144" s="286" t="str">
        <f t="shared" si="127"/>
        <v/>
      </c>
      <c r="T144" s="286" t="str">
        <f t="shared" si="128"/>
        <v/>
      </c>
      <c r="U144" s="287" t="str">
        <f t="shared" si="129"/>
        <v/>
      </c>
    </row>
    <row r="145" spans="1:21" x14ac:dyDescent="0.3">
      <c r="A145" s="263">
        <f>8</f>
        <v>8</v>
      </c>
      <c r="B145" s="38"/>
      <c r="C145" s="38"/>
      <c r="D145" s="276"/>
      <c r="E145" s="277"/>
      <c r="F145" s="38"/>
      <c r="G145" s="38"/>
      <c r="H145" s="261">
        <f t="shared" si="117"/>
        <v>0</v>
      </c>
      <c r="I145" s="262">
        <f t="shared" si="130"/>
        <v>0</v>
      </c>
      <c r="J145" s="262">
        <f t="shared" si="131"/>
        <v>0</v>
      </c>
      <c r="K145" s="262">
        <f t="shared" si="132"/>
        <v>0</v>
      </c>
      <c r="L145" s="261">
        <f t="shared" si="133"/>
        <v>0</v>
      </c>
      <c r="M145" s="286">
        <f t="shared" si="134"/>
        <v>0</v>
      </c>
      <c r="N145" s="262">
        <f t="shared" si="123"/>
        <v>0</v>
      </c>
      <c r="O145" s="286" t="e">
        <f t="shared" si="124"/>
        <v>#DIV/0!</v>
      </c>
      <c r="P145" s="286" t="e">
        <f t="shared" si="125"/>
        <v>#DIV/0!</v>
      </c>
      <c r="Q145" s="258"/>
      <c r="R145" s="286" t="str">
        <f t="shared" si="126"/>
        <v/>
      </c>
      <c r="S145" s="286" t="str">
        <f t="shared" si="127"/>
        <v/>
      </c>
      <c r="T145" s="286" t="str">
        <f t="shared" si="128"/>
        <v/>
      </c>
      <c r="U145" s="287" t="str">
        <f t="shared" si="129"/>
        <v/>
      </c>
    </row>
    <row r="146" spans="1:21" x14ac:dyDescent="0.3">
      <c r="A146" s="263">
        <f>8</f>
        <v>8</v>
      </c>
      <c r="B146" s="38"/>
      <c r="C146" s="38"/>
      <c r="D146" s="276"/>
      <c r="E146" s="277"/>
      <c r="F146" s="38"/>
      <c r="G146" s="38"/>
      <c r="H146" s="261">
        <f t="shared" si="117"/>
        <v>0</v>
      </c>
      <c r="I146" s="262">
        <f t="shared" si="130"/>
        <v>0</v>
      </c>
      <c r="J146" s="262">
        <f t="shared" si="131"/>
        <v>0</v>
      </c>
      <c r="K146" s="262">
        <f t="shared" si="132"/>
        <v>0</v>
      </c>
      <c r="L146" s="261">
        <f t="shared" si="133"/>
        <v>0</v>
      </c>
      <c r="M146" s="286">
        <f t="shared" si="134"/>
        <v>0</v>
      </c>
      <c r="N146" s="262">
        <f t="shared" si="123"/>
        <v>0</v>
      </c>
      <c r="O146" s="286" t="e">
        <f t="shared" si="124"/>
        <v>#DIV/0!</v>
      </c>
      <c r="P146" s="286" t="e">
        <f t="shared" si="125"/>
        <v>#DIV/0!</v>
      </c>
      <c r="Q146" s="258"/>
      <c r="R146" s="286" t="str">
        <f t="shared" si="126"/>
        <v/>
      </c>
      <c r="S146" s="286" t="str">
        <f t="shared" si="127"/>
        <v/>
      </c>
      <c r="T146" s="286" t="str">
        <f t="shared" si="128"/>
        <v/>
      </c>
      <c r="U146" s="287" t="str">
        <f t="shared" si="129"/>
        <v/>
      </c>
    </row>
    <row r="147" spans="1:21" x14ac:dyDescent="0.3">
      <c r="A147" s="263">
        <f>8</f>
        <v>8</v>
      </c>
      <c r="B147" s="38"/>
      <c r="C147" s="38"/>
      <c r="D147" s="276"/>
      <c r="E147" s="277"/>
      <c r="F147" s="38"/>
      <c r="G147" s="38"/>
      <c r="H147" s="261">
        <f t="shared" si="117"/>
        <v>0</v>
      </c>
      <c r="I147" s="262">
        <f t="shared" si="130"/>
        <v>0</v>
      </c>
      <c r="J147" s="262">
        <f t="shared" si="131"/>
        <v>0</v>
      </c>
      <c r="K147" s="262">
        <f t="shared" si="132"/>
        <v>0</v>
      </c>
      <c r="L147" s="261">
        <f t="shared" si="133"/>
        <v>0</v>
      </c>
      <c r="M147" s="286">
        <f t="shared" si="134"/>
        <v>0</v>
      </c>
      <c r="N147" s="262">
        <f t="shared" si="123"/>
        <v>0</v>
      </c>
      <c r="O147" s="286" t="e">
        <f t="shared" si="124"/>
        <v>#DIV/0!</v>
      </c>
      <c r="P147" s="286" t="e">
        <f t="shared" si="125"/>
        <v>#DIV/0!</v>
      </c>
      <c r="Q147" s="258"/>
      <c r="R147" s="286" t="str">
        <f t="shared" si="126"/>
        <v/>
      </c>
      <c r="S147" s="286" t="str">
        <f t="shared" si="127"/>
        <v/>
      </c>
      <c r="T147" s="286" t="str">
        <f t="shared" si="128"/>
        <v/>
      </c>
      <c r="U147" s="287" t="str">
        <f t="shared" si="129"/>
        <v/>
      </c>
    </row>
    <row r="148" spans="1:21" x14ac:dyDescent="0.3">
      <c r="A148" s="263">
        <f>8</f>
        <v>8</v>
      </c>
      <c r="B148" s="38"/>
      <c r="C148" s="38"/>
      <c r="D148" s="276"/>
      <c r="E148" s="277"/>
      <c r="F148" s="38"/>
      <c r="G148" s="38"/>
      <c r="H148" s="261">
        <f t="shared" si="117"/>
        <v>0</v>
      </c>
      <c r="I148" s="262">
        <f t="shared" si="130"/>
        <v>0</v>
      </c>
      <c r="J148" s="262">
        <f t="shared" si="131"/>
        <v>0</v>
      </c>
      <c r="K148" s="262">
        <f t="shared" si="132"/>
        <v>0</v>
      </c>
      <c r="L148" s="261">
        <f t="shared" si="133"/>
        <v>0</v>
      </c>
      <c r="M148" s="286">
        <f t="shared" si="134"/>
        <v>0</v>
      </c>
      <c r="N148" s="262">
        <f t="shared" si="123"/>
        <v>0</v>
      </c>
      <c r="O148" s="286" t="e">
        <f t="shared" si="124"/>
        <v>#DIV/0!</v>
      </c>
      <c r="P148" s="286" t="e">
        <f t="shared" si="125"/>
        <v>#DIV/0!</v>
      </c>
      <c r="Q148" s="258"/>
      <c r="R148" s="286" t="str">
        <f t="shared" si="126"/>
        <v/>
      </c>
      <c r="S148" s="286" t="str">
        <f t="shared" si="127"/>
        <v/>
      </c>
      <c r="T148" s="286" t="str">
        <f t="shared" si="128"/>
        <v/>
      </c>
      <c r="U148" s="287" t="str">
        <f t="shared" si="129"/>
        <v/>
      </c>
    </row>
    <row r="149" spans="1:21" x14ac:dyDescent="0.3">
      <c r="B149" s="4" t="s">
        <v>139</v>
      </c>
      <c r="C149" s="4"/>
      <c r="D149" s="4"/>
      <c r="E149" s="253">
        <f>COUNT(B139:B148)</f>
        <v>0</v>
      </c>
      <c r="F149" s="28"/>
      <c r="G149" s="28"/>
      <c r="H149" s="28"/>
      <c r="I149" s="28"/>
      <c r="J149" s="28"/>
      <c r="K149" s="28"/>
      <c r="O149" s="285" t="e">
        <f>SUM(O139:O148)</f>
        <v>#DIV/0!</v>
      </c>
      <c r="P149" s="285" t="e">
        <f>SUM(P139:P148)</f>
        <v>#DIV/0!</v>
      </c>
      <c r="Q149" s="26"/>
      <c r="R149" s="285">
        <f>SUM(R139:R148)</f>
        <v>0</v>
      </c>
      <c r="S149" s="284">
        <f>SUM(S139:S148)</f>
        <v>0</v>
      </c>
      <c r="T149" s="284">
        <f>SUM(T139:T148)</f>
        <v>0</v>
      </c>
      <c r="U149" s="284">
        <f>SUM(U139:U148)</f>
        <v>0</v>
      </c>
    </row>
    <row r="150" spans="1:21" x14ac:dyDescent="0.3">
      <c r="R150" s="51"/>
      <c r="S150" s="51"/>
      <c r="T150" s="51"/>
      <c r="U150" s="51"/>
    </row>
    <row r="151" spans="1:21" x14ac:dyDescent="0.3">
      <c r="R151" s="51"/>
      <c r="S151" s="51"/>
      <c r="T151" s="51"/>
      <c r="U151" s="51"/>
    </row>
    <row r="152" spans="1:21" x14ac:dyDescent="0.3">
      <c r="R152" s="51"/>
      <c r="S152" s="51"/>
      <c r="T152" s="51"/>
      <c r="U152" s="51"/>
    </row>
    <row r="153" spans="1:21" x14ac:dyDescent="0.3">
      <c r="A153" s="3"/>
      <c r="C153" s="119" t="s">
        <v>826</v>
      </c>
      <c r="D153" s="252"/>
      <c r="E153" s="279"/>
      <c r="F153" s="251" t="s">
        <v>825</v>
      </c>
      <c r="G153" s="87"/>
      <c r="H153" s="28"/>
      <c r="I153" s="28"/>
      <c r="J153" s="28"/>
      <c r="K153" s="28"/>
      <c r="M153" s="28"/>
      <c r="N153" s="270"/>
      <c r="O153" s="119" t="s">
        <v>803</v>
      </c>
      <c r="P153" s="271"/>
      <c r="Q153" s="30"/>
      <c r="R153" s="35"/>
      <c r="S153" s="243" t="s">
        <v>902</v>
      </c>
      <c r="T153" s="259"/>
      <c r="U153" s="255"/>
    </row>
    <row r="154" spans="1:21" ht="18.75" x14ac:dyDescent="0.3">
      <c r="A154" s="281" t="s">
        <v>135</v>
      </c>
      <c r="B154" s="266" t="s">
        <v>143</v>
      </c>
      <c r="C154" s="272" t="s">
        <v>412</v>
      </c>
      <c r="D154" s="274" t="s">
        <v>1031</v>
      </c>
      <c r="E154" s="275" t="s">
        <v>157</v>
      </c>
      <c r="F154" s="269" t="s">
        <v>1029</v>
      </c>
      <c r="G154" s="269" t="s">
        <v>1030</v>
      </c>
      <c r="H154" s="266" t="s">
        <v>413</v>
      </c>
      <c r="I154" s="266" t="s">
        <v>842</v>
      </c>
      <c r="J154" s="266" t="s">
        <v>841</v>
      </c>
      <c r="K154" s="266" t="s">
        <v>843</v>
      </c>
      <c r="L154" s="266" t="s">
        <v>153</v>
      </c>
      <c r="M154" s="266" t="s">
        <v>844</v>
      </c>
      <c r="N154" s="266" t="s">
        <v>840</v>
      </c>
      <c r="O154" s="269" t="s">
        <v>159</v>
      </c>
      <c r="P154" s="266" t="s">
        <v>160</v>
      </c>
      <c r="Q154" s="257" t="s">
        <v>824</v>
      </c>
      <c r="R154" s="266" t="s">
        <v>137</v>
      </c>
      <c r="S154" s="266" t="s">
        <v>138</v>
      </c>
      <c r="T154" s="266" t="s">
        <v>161</v>
      </c>
      <c r="U154" s="283" t="s">
        <v>162</v>
      </c>
    </row>
    <row r="155" spans="1:21" x14ac:dyDescent="0.3">
      <c r="A155" s="263">
        <f>9</f>
        <v>9</v>
      </c>
      <c r="B155" s="38"/>
      <c r="C155" s="38"/>
      <c r="D155" s="276"/>
      <c r="E155" s="277"/>
      <c r="F155" s="38"/>
      <c r="G155" s="38"/>
      <c r="H155" s="261">
        <f t="shared" ref="H155:H164" si="135">D155*0.5</f>
        <v>0</v>
      </c>
      <c r="I155" s="262">
        <f t="shared" ref="I155" si="136">(PI()*(H155*H155)*C155)/1000</f>
        <v>0</v>
      </c>
      <c r="J155" s="262">
        <f t="shared" ref="J155" si="137">((PI()/6)*(E155*F155*G155))/1000</f>
        <v>0</v>
      </c>
      <c r="K155" s="262">
        <f t="shared" ref="K155" si="138">J155+I155</f>
        <v>0</v>
      </c>
      <c r="L155" s="261">
        <f t="shared" ref="L155" si="139">IF(B155=1,$D$10,IF(B155=2,$D$11,IF(B155=3,$D$12,IF(B155=4,$D$13,))))</f>
        <v>0</v>
      </c>
      <c r="M155" s="286">
        <f t="shared" ref="M155" si="140">IF(B155=1,$G$10,IF(B155=2,$G$11,IF(B155=3,$G$12,IF(B155=4,$G$13,))))</f>
        <v>0</v>
      </c>
      <c r="N155" s="262">
        <f t="shared" ref="N155:N164" si="141">(K155*M155)*L155</f>
        <v>0</v>
      </c>
      <c r="O155" s="286" t="e">
        <f t="shared" ref="O155:O164" si="142">(N155)*(1/$B$6)</f>
        <v>#DIV/0!</v>
      </c>
      <c r="P155" s="286" t="e">
        <f t="shared" ref="P155:P164" si="143">O155/1000</f>
        <v>#DIV/0!</v>
      </c>
      <c r="Q155" s="258"/>
      <c r="R155" s="286" t="str">
        <f t="shared" ref="R155:R164" si="144">IF(B155=1, P155,"")</f>
        <v/>
      </c>
      <c r="S155" s="286" t="str">
        <f t="shared" ref="S155:S164" si="145">IF(B155=2, P155,"")</f>
        <v/>
      </c>
      <c r="T155" s="286" t="str">
        <f t="shared" ref="T155:T164" si="146">IF(B155=3, P155,"")</f>
        <v/>
      </c>
      <c r="U155" s="287" t="str">
        <f t="shared" ref="U155:U164" si="147">IF(B155=4, P155,"")</f>
        <v/>
      </c>
    </row>
    <row r="156" spans="1:21" x14ac:dyDescent="0.3">
      <c r="A156" s="263">
        <f>9</f>
        <v>9</v>
      </c>
      <c r="B156" s="38"/>
      <c r="C156" s="38"/>
      <c r="D156" s="276"/>
      <c r="E156" s="277"/>
      <c r="F156" s="38"/>
      <c r="G156" s="38"/>
      <c r="H156" s="261">
        <f t="shared" si="135"/>
        <v>0</v>
      </c>
      <c r="I156" s="262">
        <f t="shared" ref="I156:I164" si="148">(PI()*(H156*H156)*C156)/1000</f>
        <v>0</v>
      </c>
      <c r="J156" s="262">
        <f t="shared" ref="J156:J164" si="149">((PI()/6)*(E156*F156*G156))/1000</f>
        <v>0</v>
      </c>
      <c r="K156" s="262">
        <f t="shared" ref="K156:K164" si="150">J156+I156</f>
        <v>0</v>
      </c>
      <c r="L156" s="261">
        <f t="shared" ref="L156:L164" si="151">IF(B156=1,$D$10,IF(B156=2,$D$11,IF(B156=3,$D$12,IF(B156=4,$D$13,))))</f>
        <v>0</v>
      </c>
      <c r="M156" s="286">
        <f t="shared" ref="M156:M164" si="152">IF(B156=1,$G$10,IF(B156=2,$G$11,IF(B156=3,$G$12,IF(B156=4,$G$13,))))</f>
        <v>0</v>
      </c>
      <c r="N156" s="262">
        <f t="shared" si="141"/>
        <v>0</v>
      </c>
      <c r="O156" s="286" t="e">
        <f t="shared" si="142"/>
        <v>#DIV/0!</v>
      </c>
      <c r="P156" s="286" t="e">
        <f t="shared" si="143"/>
        <v>#DIV/0!</v>
      </c>
      <c r="Q156" s="258"/>
      <c r="R156" s="286" t="str">
        <f t="shared" si="144"/>
        <v/>
      </c>
      <c r="S156" s="286" t="str">
        <f t="shared" si="145"/>
        <v/>
      </c>
      <c r="T156" s="286" t="str">
        <f t="shared" si="146"/>
        <v/>
      </c>
      <c r="U156" s="287" t="str">
        <f t="shared" si="147"/>
        <v/>
      </c>
    </row>
    <row r="157" spans="1:21" x14ac:dyDescent="0.3">
      <c r="A157" s="263">
        <f>9</f>
        <v>9</v>
      </c>
      <c r="B157" s="38"/>
      <c r="C157" s="38"/>
      <c r="D157" s="276"/>
      <c r="E157" s="277"/>
      <c r="F157" s="38"/>
      <c r="G157" s="38"/>
      <c r="H157" s="261">
        <f t="shared" si="135"/>
        <v>0</v>
      </c>
      <c r="I157" s="262">
        <f t="shared" si="148"/>
        <v>0</v>
      </c>
      <c r="J157" s="262">
        <f t="shared" si="149"/>
        <v>0</v>
      </c>
      <c r="K157" s="262">
        <f t="shared" si="150"/>
        <v>0</v>
      </c>
      <c r="L157" s="261">
        <f t="shared" si="151"/>
        <v>0</v>
      </c>
      <c r="M157" s="286">
        <f t="shared" si="152"/>
        <v>0</v>
      </c>
      <c r="N157" s="262">
        <f t="shared" si="141"/>
        <v>0</v>
      </c>
      <c r="O157" s="286" t="e">
        <f t="shared" si="142"/>
        <v>#DIV/0!</v>
      </c>
      <c r="P157" s="286" t="e">
        <f t="shared" si="143"/>
        <v>#DIV/0!</v>
      </c>
      <c r="Q157" s="258"/>
      <c r="R157" s="286" t="str">
        <f t="shared" si="144"/>
        <v/>
      </c>
      <c r="S157" s="286" t="str">
        <f t="shared" si="145"/>
        <v/>
      </c>
      <c r="T157" s="286" t="str">
        <f t="shared" si="146"/>
        <v/>
      </c>
      <c r="U157" s="287" t="str">
        <f t="shared" si="147"/>
        <v/>
      </c>
    </row>
    <row r="158" spans="1:21" x14ac:dyDescent="0.3">
      <c r="A158" s="263">
        <f>9</f>
        <v>9</v>
      </c>
      <c r="B158" s="38"/>
      <c r="C158" s="38"/>
      <c r="D158" s="276"/>
      <c r="E158" s="277"/>
      <c r="F158" s="38"/>
      <c r="G158" s="38"/>
      <c r="H158" s="261">
        <f t="shared" si="135"/>
        <v>0</v>
      </c>
      <c r="I158" s="262">
        <f t="shared" si="148"/>
        <v>0</v>
      </c>
      <c r="J158" s="262">
        <f t="shared" si="149"/>
        <v>0</v>
      </c>
      <c r="K158" s="262">
        <f t="shared" si="150"/>
        <v>0</v>
      </c>
      <c r="L158" s="261">
        <f t="shared" si="151"/>
        <v>0</v>
      </c>
      <c r="M158" s="286">
        <f t="shared" si="152"/>
        <v>0</v>
      </c>
      <c r="N158" s="262">
        <f t="shared" si="141"/>
        <v>0</v>
      </c>
      <c r="O158" s="286" t="e">
        <f t="shared" si="142"/>
        <v>#DIV/0!</v>
      </c>
      <c r="P158" s="286" t="e">
        <f t="shared" si="143"/>
        <v>#DIV/0!</v>
      </c>
      <c r="Q158" s="258"/>
      <c r="R158" s="286" t="str">
        <f t="shared" si="144"/>
        <v/>
      </c>
      <c r="S158" s="286" t="str">
        <f t="shared" si="145"/>
        <v/>
      </c>
      <c r="T158" s="286" t="str">
        <f t="shared" si="146"/>
        <v/>
      </c>
      <c r="U158" s="287" t="str">
        <f t="shared" si="147"/>
        <v/>
      </c>
    </row>
    <row r="159" spans="1:21" x14ac:dyDescent="0.3">
      <c r="A159" s="263">
        <f>9</f>
        <v>9</v>
      </c>
      <c r="B159" s="38"/>
      <c r="C159" s="38"/>
      <c r="D159" s="276"/>
      <c r="E159" s="277"/>
      <c r="F159" s="38"/>
      <c r="G159" s="38"/>
      <c r="H159" s="261">
        <f t="shared" si="135"/>
        <v>0</v>
      </c>
      <c r="I159" s="262">
        <f t="shared" si="148"/>
        <v>0</v>
      </c>
      <c r="J159" s="262">
        <f t="shared" si="149"/>
        <v>0</v>
      </c>
      <c r="K159" s="262">
        <f t="shared" si="150"/>
        <v>0</v>
      </c>
      <c r="L159" s="261">
        <f t="shared" si="151"/>
        <v>0</v>
      </c>
      <c r="M159" s="286">
        <f t="shared" si="152"/>
        <v>0</v>
      </c>
      <c r="N159" s="262">
        <f t="shared" si="141"/>
        <v>0</v>
      </c>
      <c r="O159" s="286" t="e">
        <f t="shared" si="142"/>
        <v>#DIV/0!</v>
      </c>
      <c r="P159" s="286" t="e">
        <f t="shared" si="143"/>
        <v>#DIV/0!</v>
      </c>
      <c r="Q159" s="258"/>
      <c r="R159" s="286" t="str">
        <f t="shared" si="144"/>
        <v/>
      </c>
      <c r="S159" s="286" t="str">
        <f t="shared" si="145"/>
        <v/>
      </c>
      <c r="T159" s="286" t="str">
        <f t="shared" si="146"/>
        <v/>
      </c>
      <c r="U159" s="287" t="str">
        <f t="shared" si="147"/>
        <v/>
      </c>
    </row>
    <row r="160" spans="1:21" x14ac:dyDescent="0.3">
      <c r="A160" s="263">
        <f>9</f>
        <v>9</v>
      </c>
      <c r="B160" s="38"/>
      <c r="C160" s="38"/>
      <c r="D160" s="276"/>
      <c r="E160" s="277"/>
      <c r="F160" s="38"/>
      <c r="G160" s="38"/>
      <c r="H160" s="261">
        <f t="shared" si="135"/>
        <v>0</v>
      </c>
      <c r="I160" s="262">
        <f t="shared" si="148"/>
        <v>0</v>
      </c>
      <c r="J160" s="262">
        <f t="shared" si="149"/>
        <v>0</v>
      </c>
      <c r="K160" s="262">
        <f t="shared" si="150"/>
        <v>0</v>
      </c>
      <c r="L160" s="261">
        <f t="shared" si="151"/>
        <v>0</v>
      </c>
      <c r="M160" s="286">
        <f t="shared" si="152"/>
        <v>0</v>
      </c>
      <c r="N160" s="262">
        <f t="shared" si="141"/>
        <v>0</v>
      </c>
      <c r="O160" s="286" t="e">
        <f t="shared" si="142"/>
        <v>#DIV/0!</v>
      </c>
      <c r="P160" s="286" t="e">
        <f t="shared" si="143"/>
        <v>#DIV/0!</v>
      </c>
      <c r="Q160" s="258"/>
      <c r="R160" s="286" t="str">
        <f t="shared" si="144"/>
        <v/>
      </c>
      <c r="S160" s="286" t="str">
        <f t="shared" si="145"/>
        <v/>
      </c>
      <c r="T160" s="286" t="str">
        <f t="shared" si="146"/>
        <v/>
      </c>
      <c r="U160" s="287" t="str">
        <f t="shared" si="147"/>
        <v/>
      </c>
    </row>
    <row r="161" spans="1:21" x14ac:dyDescent="0.3">
      <c r="A161" s="263">
        <f>9</f>
        <v>9</v>
      </c>
      <c r="B161" s="38"/>
      <c r="C161" s="38"/>
      <c r="D161" s="276"/>
      <c r="E161" s="277"/>
      <c r="F161" s="38"/>
      <c r="G161" s="38"/>
      <c r="H161" s="261">
        <f t="shared" si="135"/>
        <v>0</v>
      </c>
      <c r="I161" s="262">
        <f t="shared" si="148"/>
        <v>0</v>
      </c>
      <c r="J161" s="262">
        <f t="shared" si="149"/>
        <v>0</v>
      </c>
      <c r="K161" s="262">
        <f t="shared" si="150"/>
        <v>0</v>
      </c>
      <c r="L161" s="261">
        <f t="shared" si="151"/>
        <v>0</v>
      </c>
      <c r="M161" s="286">
        <f t="shared" si="152"/>
        <v>0</v>
      </c>
      <c r="N161" s="262">
        <f t="shared" si="141"/>
        <v>0</v>
      </c>
      <c r="O161" s="286" t="e">
        <f t="shared" si="142"/>
        <v>#DIV/0!</v>
      </c>
      <c r="P161" s="286" t="e">
        <f t="shared" si="143"/>
        <v>#DIV/0!</v>
      </c>
      <c r="Q161" s="258"/>
      <c r="R161" s="286" t="str">
        <f t="shared" si="144"/>
        <v/>
      </c>
      <c r="S161" s="286" t="str">
        <f t="shared" si="145"/>
        <v/>
      </c>
      <c r="T161" s="286" t="str">
        <f t="shared" si="146"/>
        <v/>
      </c>
      <c r="U161" s="287" t="str">
        <f t="shared" si="147"/>
        <v/>
      </c>
    </row>
    <row r="162" spans="1:21" x14ac:dyDescent="0.3">
      <c r="A162" s="263">
        <f>9</f>
        <v>9</v>
      </c>
      <c r="B162" s="38"/>
      <c r="C162" s="38"/>
      <c r="D162" s="276"/>
      <c r="E162" s="277"/>
      <c r="F162" s="38"/>
      <c r="G162" s="38"/>
      <c r="H162" s="261">
        <f t="shared" si="135"/>
        <v>0</v>
      </c>
      <c r="I162" s="262">
        <f t="shared" si="148"/>
        <v>0</v>
      </c>
      <c r="J162" s="262">
        <f t="shared" si="149"/>
        <v>0</v>
      </c>
      <c r="K162" s="262">
        <f t="shared" si="150"/>
        <v>0</v>
      </c>
      <c r="L162" s="261">
        <f t="shared" si="151"/>
        <v>0</v>
      </c>
      <c r="M162" s="286">
        <f t="shared" si="152"/>
        <v>0</v>
      </c>
      <c r="N162" s="262">
        <f t="shared" si="141"/>
        <v>0</v>
      </c>
      <c r="O162" s="286" t="e">
        <f t="shared" si="142"/>
        <v>#DIV/0!</v>
      </c>
      <c r="P162" s="286" t="e">
        <f t="shared" si="143"/>
        <v>#DIV/0!</v>
      </c>
      <c r="Q162" s="258"/>
      <c r="R162" s="286" t="str">
        <f t="shared" si="144"/>
        <v/>
      </c>
      <c r="S162" s="286" t="str">
        <f t="shared" si="145"/>
        <v/>
      </c>
      <c r="T162" s="286" t="str">
        <f t="shared" si="146"/>
        <v/>
      </c>
      <c r="U162" s="287" t="str">
        <f t="shared" si="147"/>
        <v/>
      </c>
    </row>
    <row r="163" spans="1:21" x14ac:dyDescent="0.3">
      <c r="A163" s="263">
        <f>9</f>
        <v>9</v>
      </c>
      <c r="B163" s="38"/>
      <c r="C163" s="38"/>
      <c r="D163" s="276"/>
      <c r="E163" s="277"/>
      <c r="F163" s="38"/>
      <c r="G163" s="38"/>
      <c r="H163" s="261">
        <f t="shared" si="135"/>
        <v>0</v>
      </c>
      <c r="I163" s="262">
        <f t="shared" si="148"/>
        <v>0</v>
      </c>
      <c r="J163" s="262">
        <f t="shared" si="149"/>
        <v>0</v>
      </c>
      <c r="K163" s="262">
        <f t="shared" si="150"/>
        <v>0</v>
      </c>
      <c r="L163" s="261">
        <f t="shared" si="151"/>
        <v>0</v>
      </c>
      <c r="M163" s="286">
        <f t="shared" si="152"/>
        <v>0</v>
      </c>
      <c r="N163" s="262">
        <f t="shared" si="141"/>
        <v>0</v>
      </c>
      <c r="O163" s="286" t="e">
        <f t="shared" si="142"/>
        <v>#DIV/0!</v>
      </c>
      <c r="P163" s="286" t="e">
        <f t="shared" si="143"/>
        <v>#DIV/0!</v>
      </c>
      <c r="Q163" s="258"/>
      <c r="R163" s="286" t="str">
        <f t="shared" si="144"/>
        <v/>
      </c>
      <c r="S163" s="286" t="str">
        <f t="shared" si="145"/>
        <v/>
      </c>
      <c r="T163" s="286" t="str">
        <f t="shared" si="146"/>
        <v/>
      </c>
      <c r="U163" s="287" t="str">
        <f t="shared" si="147"/>
        <v/>
      </c>
    </row>
    <row r="164" spans="1:21" x14ac:dyDescent="0.3">
      <c r="A164" s="263">
        <f>9</f>
        <v>9</v>
      </c>
      <c r="B164" s="38"/>
      <c r="C164" s="38"/>
      <c r="D164" s="276"/>
      <c r="E164" s="277"/>
      <c r="F164" s="38"/>
      <c r="G164" s="38"/>
      <c r="H164" s="261">
        <f t="shared" si="135"/>
        <v>0</v>
      </c>
      <c r="I164" s="262">
        <f t="shared" si="148"/>
        <v>0</v>
      </c>
      <c r="J164" s="262">
        <f t="shared" si="149"/>
        <v>0</v>
      </c>
      <c r="K164" s="262">
        <f t="shared" si="150"/>
        <v>0</v>
      </c>
      <c r="L164" s="261">
        <f t="shared" si="151"/>
        <v>0</v>
      </c>
      <c r="M164" s="286">
        <f t="shared" si="152"/>
        <v>0</v>
      </c>
      <c r="N164" s="262">
        <f t="shared" si="141"/>
        <v>0</v>
      </c>
      <c r="O164" s="286" t="e">
        <f t="shared" si="142"/>
        <v>#DIV/0!</v>
      </c>
      <c r="P164" s="286" t="e">
        <f t="shared" si="143"/>
        <v>#DIV/0!</v>
      </c>
      <c r="Q164" s="258"/>
      <c r="R164" s="286" t="str">
        <f t="shared" si="144"/>
        <v/>
      </c>
      <c r="S164" s="286" t="str">
        <f t="shared" si="145"/>
        <v/>
      </c>
      <c r="T164" s="286" t="str">
        <f t="shared" si="146"/>
        <v/>
      </c>
      <c r="U164" s="287" t="str">
        <f t="shared" si="147"/>
        <v/>
      </c>
    </row>
    <row r="165" spans="1:21" x14ac:dyDescent="0.3">
      <c r="B165" s="4" t="s">
        <v>139</v>
      </c>
      <c r="C165" s="4"/>
      <c r="D165" s="4"/>
      <c r="E165" s="253">
        <f>COUNT(B155:B164)</f>
        <v>0</v>
      </c>
      <c r="F165" s="28"/>
      <c r="G165" s="28"/>
      <c r="H165" s="28"/>
      <c r="I165" s="28"/>
      <c r="J165" s="28"/>
      <c r="K165" s="28"/>
      <c r="O165" s="285" t="e">
        <f>SUM(O155:O164)</f>
        <v>#DIV/0!</v>
      </c>
      <c r="P165" s="285" t="e">
        <f>SUM(P155:P164)</f>
        <v>#DIV/0!</v>
      </c>
      <c r="Q165" s="26"/>
      <c r="R165" s="285">
        <f>SUM(R155:R164)</f>
        <v>0</v>
      </c>
      <c r="S165" s="284">
        <f>SUM(S155:S164)</f>
        <v>0</v>
      </c>
      <c r="T165" s="284">
        <f>SUM(T155:T164)</f>
        <v>0</v>
      </c>
      <c r="U165" s="284">
        <f>SUM(U155:U164)</f>
        <v>0</v>
      </c>
    </row>
    <row r="166" spans="1:21" x14ac:dyDescent="0.3">
      <c r="R166" s="51"/>
      <c r="S166" s="51"/>
      <c r="T166" s="51"/>
      <c r="U166" s="51"/>
    </row>
    <row r="167" spans="1:21" x14ac:dyDescent="0.3">
      <c r="R167" s="51"/>
      <c r="S167" s="51"/>
      <c r="T167" s="51"/>
      <c r="U167" s="51"/>
    </row>
    <row r="168" spans="1:21" x14ac:dyDescent="0.3">
      <c r="R168" s="51"/>
      <c r="S168" s="51"/>
      <c r="T168" s="51"/>
      <c r="U168" s="51"/>
    </row>
    <row r="169" spans="1:21" x14ac:dyDescent="0.3">
      <c r="A169" s="3"/>
      <c r="C169" s="119" t="s">
        <v>826</v>
      </c>
      <c r="D169" s="252"/>
      <c r="E169" s="279"/>
      <c r="F169" s="251" t="s">
        <v>825</v>
      </c>
      <c r="G169" s="87"/>
      <c r="H169" s="28"/>
      <c r="I169" s="28"/>
      <c r="J169" s="28"/>
      <c r="K169" s="28"/>
      <c r="M169" s="28"/>
      <c r="N169" s="270"/>
      <c r="O169" s="119" t="s">
        <v>803</v>
      </c>
      <c r="P169" s="271"/>
      <c r="Q169" s="30"/>
      <c r="R169" s="35"/>
      <c r="S169" s="243" t="s">
        <v>902</v>
      </c>
      <c r="T169" s="259"/>
      <c r="U169" s="255"/>
    </row>
    <row r="170" spans="1:21" ht="18.75" x14ac:dyDescent="0.3">
      <c r="A170" s="281" t="s">
        <v>135</v>
      </c>
      <c r="B170" s="266" t="s">
        <v>143</v>
      </c>
      <c r="C170" s="272" t="s">
        <v>412</v>
      </c>
      <c r="D170" s="274" t="s">
        <v>1031</v>
      </c>
      <c r="E170" s="275" t="s">
        <v>157</v>
      </c>
      <c r="F170" s="269" t="s">
        <v>1029</v>
      </c>
      <c r="G170" s="269" t="s">
        <v>1030</v>
      </c>
      <c r="H170" s="266" t="s">
        <v>413</v>
      </c>
      <c r="I170" s="266" t="s">
        <v>842</v>
      </c>
      <c r="J170" s="266" t="s">
        <v>841</v>
      </c>
      <c r="K170" s="266" t="s">
        <v>843</v>
      </c>
      <c r="L170" s="266" t="s">
        <v>153</v>
      </c>
      <c r="M170" s="266" t="s">
        <v>844</v>
      </c>
      <c r="N170" s="266" t="s">
        <v>840</v>
      </c>
      <c r="O170" s="269" t="s">
        <v>159</v>
      </c>
      <c r="P170" s="266" t="s">
        <v>160</v>
      </c>
      <c r="Q170" s="257" t="s">
        <v>824</v>
      </c>
      <c r="R170" s="266" t="s">
        <v>137</v>
      </c>
      <c r="S170" s="266" t="s">
        <v>138</v>
      </c>
      <c r="T170" s="266" t="s">
        <v>161</v>
      </c>
      <c r="U170" s="283" t="s">
        <v>162</v>
      </c>
    </row>
    <row r="171" spans="1:21" x14ac:dyDescent="0.3">
      <c r="A171" s="263">
        <f>10</f>
        <v>10</v>
      </c>
      <c r="B171" s="38"/>
      <c r="C171" s="38"/>
      <c r="D171" s="276"/>
      <c r="E171" s="277"/>
      <c r="F171" s="38"/>
      <c r="G171" s="38"/>
      <c r="H171" s="261">
        <f t="shared" ref="H171:H180" si="153">D171*0.5</f>
        <v>0</v>
      </c>
      <c r="I171" s="262">
        <f t="shared" ref="I171" si="154">(PI()*(H171*H171)*C171)/1000</f>
        <v>0</v>
      </c>
      <c r="J171" s="262">
        <f t="shared" ref="J171" si="155">((PI()/6)*(E171*F171*G171))/1000</f>
        <v>0</v>
      </c>
      <c r="K171" s="262">
        <f t="shared" ref="K171" si="156">J171+I171</f>
        <v>0</v>
      </c>
      <c r="L171" s="261">
        <f t="shared" ref="L171" si="157">IF(B171=1,$D$10,IF(B171=2,$D$11,IF(B171=3,$D$12,IF(B171=4,$D$13,))))</f>
        <v>0</v>
      </c>
      <c r="M171" s="286">
        <f t="shared" ref="M171" si="158">IF(B171=1,$G$10,IF(B171=2,$G$11,IF(B171=3,$G$12,IF(B171=4,$G$13,))))</f>
        <v>0</v>
      </c>
      <c r="N171" s="262">
        <f t="shared" ref="N171:N180" si="159">(K171*M171)*L171</f>
        <v>0</v>
      </c>
      <c r="O171" s="286" t="e">
        <f t="shared" ref="O171:O180" si="160">(N171)*(1/$B$6)</f>
        <v>#DIV/0!</v>
      </c>
      <c r="P171" s="286" t="e">
        <f t="shared" ref="P171:P180" si="161">O171/1000</f>
        <v>#DIV/0!</v>
      </c>
      <c r="Q171" s="258"/>
      <c r="R171" s="286" t="str">
        <f t="shared" ref="R171:R180" si="162">IF(B171=1, P171,"")</f>
        <v/>
      </c>
      <c r="S171" s="286" t="str">
        <f t="shared" ref="S171:S180" si="163">IF(B171=2, P171,"")</f>
        <v/>
      </c>
      <c r="T171" s="286" t="str">
        <f t="shared" ref="T171:T180" si="164">IF(B171=3, P171,"")</f>
        <v/>
      </c>
      <c r="U171" s="287" t="str">
        <f t="shared" ref="U171:U180" si="165">IF(B171=4, P171,"")</f>
        <v/>
      </c>
    </row>
    <row r="172" spans="1:21" x14ac:dyDescent="0.3">
      <c r="A172" s="263">
        <f>10</f>
        <v>10</v>
      </c>
      <c r="B172" s="38"/>
      <c r="C172" s="38"/>
      <c r="D172" s="276"/>
      <c r="E172" s="277"/>
      <c r="F172" s="38"/>
      <c r="G172" s="38"/>
      <c r="H172" s="261">
        <f t="shared" si="153"/>
        <v>0</v>
      </c>
      <c r="I172" s="262">
        <f t="shared" ref="I172:I180" si="166">(PI()*(H172*H172)*C172)/1000</f>
        <v>0</v>
      </c>
      <c r="J172" s="262">
        <f t="shared" ref="J172:J180" si="167">((PI()/6)*(E172*F172*G172))/1000</f>
        <v>0</v>
      </c>
      <c r="K172" s="262">
        <f t="shared" ref="K172:K180" si="168">J172+I172</f>
        <v>0</v>
      </c>
      <c r="L172" s="261">
        <f t="shared" ref="L172:L180" si="169">IF(B172=1,$D$10,IF(B172=2,$D$11,IF(B172=3,$D$12,IF(B172=4,$D$13,))))</f>
        <v>0</v>
      </c>
      <c r="M172" s="286">
        <f t="shared" ref="M172:M180" si="170">IF(B172=1,$G$10,IF(B172=2,$G$11,IF(B172=3,$G$12,IF(B172=4,$G$13,))))</f>
        <v>0</v>
      </c>
      <c r="N172" s="262">
        <f t="shared" si="159"/>
        <v>0</v>
      </c>
      <c r="O172" s="286" t="e">
        <f t="shared" si="160"/>
        <v>#DIV/0!</v>
      </c>
      <c r="P172" s="286" t="e">
        <f t="shared" si="161"/>
        <v>#DIV/0!</v>
      </c>
      <c r="Q172" s="258"/>
      <c r="R172" s="286" t="str">
        <f t="shared" si="162"/>
        <v/>
      </c>
      <c r="S172" s="286" t="str">
        <f t="shared" si="163"/>
        <v/>
      </c>
      <c r="T172" s="286" t="str">
        <f t="shared" si="164"/>
        <v/>
      </c>
      <c r="U172" s="287" t="str">
        <f t="shared" si="165"/>
        <v/>
      </c>
    </row>
    <row r="173" spans="1:21" x14ac:dyDescent="0.3">
      <c r="A173" s="263">
        <f>10</f>
        <v>10</v>
      </c>
      <c r="B173" s="38"/>
      <c r="C173" s="38"/>
      <c r="D173" s="276"/>
      <c r="E173" s="277"/>
      <c r="F173" s="38"/>
      <c r="G173" s="38"/>
      <c r="H173" s="261">
        <f t="shared" si="153"/>
        <v>0</v>
      </c>
      <c r="I173" s="262">
        <f t="shared" si="166"/>
        <v>0</v>
      </c>
      <c r="J173" s="262">
        <f t="shared" si="167"/>
        <v>0</v>
      </c>
      <c r="K173" s="262">
        <f t="shared" si="168"/>
        <v>0</v>
      </c>
      <c r="L173" s="261">
        <f t="shared" si="169"/>
        <v>0</v>
      </c>
      <c r="M173" s="286">
        <f t="shared" si="170"/>
        <v>0</v>
      </c>
      <c r="N173" s="262">
        <f t="shared" si="159"/>
        <v>0</v>
      </c>
      <c r="O173" s="286" t="e">
        <f t="shared" si="160"/>
        <v>#DIV/0!</v>
      </c>
      <c r="P173" s="286" t="e">
        <f t="shared" si="161"/>
        <v>#DIV/0!</v>
      </c>
      <c r="Q173" s="258"/>
      <c r="R173" s="286" t="str">
        <f t="shared" si="162"/>
        <v/>
      </c>
      <c r="S173" s="286" t="str">
        <f t="shared" si="163"/>
        <v/>
      </c>
      <c r="T173" s="286" t="str">
        <f t="shared" si="164"/>
        <v/>
      </c>
      <c r="U173" s="287" t="str">
        <f t="shared" si="165"/>
        <v/>
      </c>
    </row>
    <row r="174" spans="1:21" x14ac:dyDescent="0.3">
      <c r="A174" s="263">
        <f>10</f>
        <v>10</v>
      </c>
      <c r="B174" s="38"/>
      <c r="C174" s="38"/>
      <c r="D174" s="276"/>
      <c r="E174" s="277"/>
      <c r="F174" s="38"/>
      <c r="G174" s="38"/>
      <c r="H174" s="261">
        <f t="shared" si="153"/>
        <v>0</v>
      </c>
      <c r="I174" s="262">
        <f t="shared" si="166"/>
        <v>0</v>
      </c>
      <c r="J174" s="262">
        <f t="shared" si="167"/>
        <v>0</v>
      </c>
      <c r="K174" s="262">
        <f t="shared" si="168"/>
        <v>0</v>
      </c>
      <c r="L174" s="261">
        <f t="shared" si="169"/>
        <v>0</v>
      </c>
      <c r="M174" s="286">
        <f t="shared" si="170"/>
        <v>0</v>
      </c>
      <c r="N174" s="262">
        <f t="shared" si="159"/>
        <v>0</v>
      </c>
      <c r="O174" s="286" t="e">
        <f t="shared" si="160"/>
        <v>#DIV/0!</v>
      </c>
      <c r="P174" s="286" t="e">
        <f t="shared" si="161"/>
        <v>#DIV/0!</v>
      </c>
      <c r="Q174" s="258"/>
      <c r="R174" s="286" t="str">
        <f t="shared" si="162"/>
        <v/>
      </c>
      <c r="S174" s="286" t="str">
        <f t="shared" si="163"/>
        <v/>
      </c>
      <c r="T174" s="286" t="str">
        <f t="shared" si="164"/>
        <v/>
      </c>
      <c r="U174" s="287" t="str">
        <f t="shared" si="165"/>
        <v/>
      </c>
    </row>
    <row r="175" spans="1:21" x14ac:dyDescent="0.3">
      <c r="A175" s="263">
        <f>10</f>
        <v>10</v>
      </c>
      <c r="B175" s="38"/>
      <c r="C175" s="38"/>
      <c r="D175" s="276"/>
      <c r="E175" s="277"/>
      <c r="F175" s="38"/>
      <c r="G175" s="38"/>
      <c r="H175" s="261">
        <f t="shared" si="153"/>
        <v>0</v>
      </c>
      <c r="I175" s="262">
        <f t="shared" si="166"/>
        <v>0</v>
      </c>
      <c r="J175" s="262">
        <f t="shared" si="167"/>
        <v>0</v>
      </c>
      <c r="K175" s="262">
        <f t="shared" si="168"/>
        <v>0</v>
      </c>
      <c r="L175" s="261">
        <f t="shared" si="169"/>
        <v>0</v>
      </c>
      <c r="M175" s="286">
        <f t="shared" si="170"/>
        <v>0</v>
      </c>
      <c r="N175" s="262">
        <f t="shared" si="159"/>
        <v>0</v>
      </c>
      <c r="O175" s="286" t="e">
        <f t="shared" si="160"/>
        <v>#DIV/0!</v>
      </c>
      <c r="P175" s="286" t="e">
        <f t="shared" si="161"/>
        <v>#DIV/0!</v>
      </c>
      <c r="Q175" s="258"/>
      <c r="R175" s="286" t="str">
        <f t="shared" si="162"/>
        <v/>
      </c>
      <c r="S175" s="286" t="str">
        <f t="shared" si="163"/>
        <v/>
      </c>
      <c r="T175" s="286" t="str">
        <f t="shared" si="164"/>
        <v/>
      </c>
      <c r="U175" s="287" t="str">
        <f t="shared" si="165"/>
        <v/>
      </c>
    </row>
    <row r="176" spans="1:21" x14ac:dyDescent="0.3">
      <c r="A176" s="263">
        <f>10</f>
        <v>10</v>
      </c>
      <c r="B176" s="38"/>
      <c r="C176" s="38"/>
      <c r="D176" s="276"/>
      <c r="E176" s="277"/>
      <c r="F176" s="38"/>
      <c r="G176" s="38"/>
      <c r="H176" s="261">
        <f t="shared" si="153"/>
        <v>0</v>
      </c>
      <c r="I176" s="262">
        <f t="shared" si="166"/>
        <v>0</v>
      </c>
      <c r="J176" s="262">
        <f t="shared" si="167"/>
        <v>0</v>
      </c>
      <c r="K176" s="262">
        <f t="shared" si="168"/>
        <v>0</v>
      </c>
      <c r="L176" s="261">
        <f t="shared" si="169"/>
        <v>0</v>
      </c>
      <c r="M176" s="286">
        <f t="shared" si="170"/>
        <v>0</v>
      </c>
      <c r="N176" s="262">
        <f t="shared" si="159"/>
        <v>0</v>
      </c>
      <c r="O176" s="286" t="e">
        <f t="shared" si="160"/>
        <v>#DIV/0!</v>
      </c>
      <c r="P176" s="286" t="e">
        <f t="shared" si="161"/>
        <v>#DIV/0!</v>
      </c>
      <c r="Q176" s="258"/>
      <c r="R176" s="286" t="str">
        <f t="shared" si="162"/>
        <v/>
      </c>
      <c r="S176" s="286" t="str">
        <f t="shared" si="163"/>
        <v/>
      </c>
      <c r="T176" s="286" t="str">
        <f t="shared" si="164"/>
        <v/>
      </c>
      <c r="U176" s="287" t="str">
        <f t="shared" si="165"/>
        <v/>
      </c>
    </row>
    <row r="177" spans="1:21" x14ac:dyDescent="0.3">
      <c r="A177" s="263">
        <f>10</f>
        <v>10</v>
      </c>
      <c r="B177" s="38"/>
      <c r="C177" s="38"/>
      <c r="D177" s="276"/>
      <c r="E177" s="277"/>
      <c r="F177" s="38"/>
      <c r="G177" s="38"/>
      <c r="H177" s="261">
        <f t="shared" si="153"/>
        <v>0</v>
      </c>
      <c r="I177" s="262">
        <f t="shared" si="166"/>
        <v>0</v>
      </c>
      <c r="J177" s="262">
        <f t="shared" si="167"/>
        <v>0</v>
      </c>
      <c r="K177" s="262">
        <f t="shared" si="168"/>
        <v>0</v>
      </c>
      <c r="L177" s="261">
        <f t="shared" si="169"/>
        <v>0</v>
      </c>
      <c r="M177" s="286">
        <f t="shared" si="170"/>
        <v>0</v>
      </c>
      <c r="N177" s="262">
        <f t="shared" si="159"/>
        <v>0</v>
      </c>
      <c r="O177" s="286" t="e">
        <f t="shared" si="160"/>
        <v>#DIV/0!</v>
      </c>
      <c r="P177" s="286" t="e">
        <f t="shared" si="161"/>
        <v>#DIV/0!</v>
      </c>
      <c r="Q177" s="258"/>
      <c r="R177" s="286" t="str">
        <f t="shared" si="162"/>
        <v/>
      </c>
      <c r="S177" s="286" t="str">
        <f t="shared" si="163"/>
        <v/>
      </c>
      <c r="T177" s="286" t="str">
        <f t="shared" si="164"/>
        <v/>
      </c>
      <c r="U177" s="287" t="str">
        <f t="shared" si="165"/>
        <v/>
      </c>
    </row>
    <row r="178" spans="1:21" x14ac:dyDescent="0.3">
      <c r="A178" s="263">
        <f>10</f>
        <v>10</v>
      </c>
      <c r="B178" s="38"/>
      <c r="C178" s="38"/>
      <c r="D178" s="276"/>
      <c r="E178" s="277"/>
      <c r="F178" s="38"/>
      <c r="G178" s="38"/>
      <c r="H178" s="261">
        <f t="shared" si="153"/>
        <v>0</v>
      </c>
      <c r="I178" s="262">
        <f t="shared" si="166"/>
        <v>0</v>
      </c>
      <c r="J178" s="262">
        <f t="shared" si="167"/>
        <v>0</v>
      </c>
      <c r="K178" s="262">
        <f t="shared" si="168"/>
        <v>0</v>
      </c>
      <c r="L178" s="261">
        <f t="shared" si="169"/>
        <v>0</v>
      </c>
      <c r="M178" s="286">
        <f t="shared" si="170"/>
        <v>0</v>
      </c>
      <c r="N178" s="262">
        <f t="shared" si="159"/>
        <v>0</v>
      </c>
      <c r="O178" s="286" t="e">
        <f t="shared" si="160"/>
        <v>#DIV/0!</v>
      </c>
      <c r="P178" s="286" t="e">
        <f t="shared" si="161"/>
        <v>#DIV/0!</v>
      </c>
      <c r="Q178" s="258"/>
      <c r="R178" s="286" t="str">
        <f t="shared" si="162"/>
        <v/>
      </c>
      <c r="S178" s="286" t="str">
        <f t="shared" si="163"/>
        <v/>
      </c>
      <c r="T178" s="286" t="str">
        <f t="shared" si="164"/>
        <v/>
      </c>
      <c r="U178" s="287" t="str">
        <f t="shared" si="165"/>
        <v/>
      </c>
    </row>
    <row r="179" spans="1:21" x14ac:dyDescent="0.3">
      <c r="A179" s="263">
        <f>10</f>
        <v>10</v>
      </c>
      <c r="B179" s="38"/>
      <c r="C179" s="38"/>
      <c r="D179" s="276"/>
      <c r="E179" s="277"/>
      <c r="F179" s="38"/>
      <c r="G179" s="38"/>
      <c r="H179" s="261">
        <f t="shared" si="153"/>
        <v>0</v>
      </c>
      <c r="I179" s="262">
        <f t="shared" si="166"/>
        <v>0</v>
      </c>
      <c r="J179" s="262">
        <f t="shared" si="167"/>
        <v>0</v>
      </c>
      <c r="K179" s="262">
        <f t="shared" si="168"/>
        <v>0</v>
      </c>
      <c r="L179" s="261">
        <f t="shared" si="169"/>
        <v>0</v>
      </c>
      <c r="M179" s="286">
        <f t="shared" si="170"/>
        <v>0</v>
      </c>
      <c r="N179" s="262">
        <f t="shared" si="159"/>
        <v>0</v>
      </c>
      <c r="O179" s="286" t="e">
        <f t="shared" si="160"/>
        <v>#DIV/0!</v>
      </c>
      <c r="P179" s="286" t="e">
        <f t="shared" si="161"/>
        <v>#DIV/0!</v>
      </c>
      <c r="Q179" s="258"/>
      <c r="R179" s="286" t="str">
        <f t="shared" si="162"/>
        <v/>
      </c>
      <c r="S179" s="286" t="str">
        <f t="shared" si="163"/>
        <v/>
      </c>
      <c r="T179" s="286" t="str">
        <f t="shared" si="164"/>
        <v/>
      </c>
      <c r="U179" s="287" t="str">
        <f t="shared" si="165"/>
        <v/>
      </c>
    </row>
    <row r="180" spans="1:21" x14ac:dyDescent="0.3">
      <c r="A180" s="263">
        <f>10</f>
        <v>10</v>
      </c>
      <c r="B180" s="38"/>
      <c r="C180" s="38"/>
      <c r="D180" s="276"/>
      <c r="E180" s="277"/>
      <c r="F180" s="38"/>
      <c r="G180" s="38"/>
      <c r="H180" s="261">
        <f t="shared" si="153"/>
        <v>0</v>
      </c>
      <c r="I180" s="262">
        <f t="shared" si="166"/>
        <v>0</v>
      </c>
      <c r="J180" s="262">
        <f t="shared" si="167"/>
        <v>0</v>
      </c>
      <c r="K180" s="262">
        <f t="shared" si="168"/>
        <v>0</v>
      </c>
      <c r="L180" s="261">
        <f t="shared" si="169"/>
        <v>0</v>
      </c>
      <c r="M180" s="286">
        <f t="shared" si="170"/>
        <v>0</v>
      </c>
      <c r="N180" s="262">
        <f t="shared" si="159"/>
        <v>0</v>
      </c>
      <c r="O180" s="286" t="e">
        <f t="shared" si="160"/>
        <v>#DIV/0!</v>
      </c>
      <c r="P180" s="286" t="e">
        <f t="shared" si="161"/>
        <v>#DIV/0!</v>
      </c>
      <c r="Q180" s="258"/>
      <c r="R180" s="286" t="str">
        <f t="shared" si="162"/>
        <v/>
      </c>
      <c r="S180" s="286" t="str">
        <f t="shared" si="163"/>
        <v/>
      </c>
      <c r="T180" s="286" t="str">
        <f t="shared" si="164"/>
        <v/>
      </c>
      <c r="U180" s="287" t="str">
        <f t="shared" si="165"/>
        <v/>
      </c>
    </row>
    <row r="181" spans="1:21" x14ac:dyDescent="0.3">
      <c r="B181" s="4" t="s">
        <v>139</v>
      </c>
      <c r="C181" s="4"/>
      <c r="D181" s="4"/>
      <c r="E181" s="253">
        <f>COUNT(B171:B180)</f>
        <v>0</v>
      </c>
      <c r="F181" s="28"/>
      <c r="G181" s="28"/>
      <c r="H181" s="28"/>
      <c r="I181" s="28"/>
      <c r="J181" s="28"/>
      <c r="K181" s="28"/>
      <c r="O181" s="285" t="e">
        <f>SUM(O171:O180)</f>
        <v>#DIV/0!</v>
      </c>
      <c r="P181" s="285" t="e">
        <f>SUM(P171:P180)</f>
        <v>#DIV/0!</v>
      </c>
      <c r="Q181" s="26"/>
      <c r="R181" s="285">
        <f>SUM(R171:R180)</f>
        <v>0</v>
      </c>
      <c r="S181" s="285">
        <f>SUM(S171:S180)</f>
        <v>0</v>
      </c>
      <c r="T181" s="285">
        <f>SUM(T171:T180)</f>
        <v>0</v>
      </c>
      <c r="U181" s="285">
        <f>SUM(U171:U180)</f>
        <v>0</v>
      </c>
    </row>
    <row r="182" spans="1:21" x14ac:dyDescent="0.3">
      <c r="B182" s="4"/>
      <c r="C182" s="4"/>
      <c r="D182" s="4"/>
      <c r="E182" s="28"/>
      <c r="F182" s="28"/>
      <c r="G182" s="28"/>
      <c r="H182" s="28"/>
      <c r="I182" s="28"/>
      <c r="J182" s="28"/>
      <c r="K182" s="28"/>
      <c r="Q182" s="26"/>
      <c r="R182" s="51"/>
      <c r="S182" s="51"/>
      <c r="T182" s="51"/>
      <c r="U182" s="51"/>
    </row>
    <row r="183" spans="1:21" x14ac:dyDescent="0.3">
      <c r="R183" s="51"/>
      <c r="S183" s="51"/>
      <c r="T183" s="51"/>
      <c r="U183" s="51"/>
    </row>
    <row r="184" spans="1:21" x14ac:dyDescent="0.3">
      <c r="R184" s="51"/>
      <c r="S184" s="51"/>
      <c r="T184" s="51"/>
      <c r="U184" s="51"/>
    </row>
    <row r="185" spans="1:21" x14ac:dyDescent="0.3">
      <c r="R185" s="51"/>
      <c r="S185" s="51"/>
      <c r="T185" s="51"/>
      <c r="U185" s="51"/>
    </row>
    <row r="186" spans="1:21" x14ac:dyDescent="0.3">
      <c r="A186" s="565" t="s">
        <v>144</v>
      </c>
      <c r="B186" s="565"/>
      <c r="C186" s="4"/>
      <c r="D186" s="4"/>
      <c r="R186" s="26"/>
      <c r="S186" s="26"/>
      <c r="T186" s="26"/>
      <c r="U186" s="26"/>
    </row>
    <row r="187" spans="1:21" x14ac:dyDescent="0.3">
      <c r="A187" s="655" t="s">
        <v>44</v>
      </c>
      <c r="B187" s="656" t="s">
        <v>572</v>
      </c>
      <c r="C187" s="658" t="s">
        <v>953</v>
      </c>
      <c r="D187" s="12"/>
      <c r="P187" s="26"/>
      <c r="Q187" s="26"/>
      <c r="R187" s="26"/>
      <c r="S187" s="26"/>
      <c r="T187" s="26"/>
      <c r="U187" s="26"/>
    </row>
    <row r="188" spans="1:21" x14ac:dyDescent="0.3">
      <c r="A188" s="655"/>
      <c r="B188" s="657"/>
      <c r="C188" s="659"/>
      <c r="D188" s="12"/>
      <c r="P188" s="26"/>
      <c r="Q188" s="26"/>
      <c r="R188" s="26"/>
      <c r="S188" s="26"/>
      <c r="T188" s="26"/>
      <c r="U188" s="26"/>
    </row>
    <row r="189" spans="1:21" x14ac:dyDescent="0.3">
      <c r="A189" s="235">
        <v>1</v>
      </c>
      <c r="B189" s="39" t="str">
        <f xml:space="preserve"> IF($A$10 = "", "", A10)</f>
        <v/>
      </c>
      <c r="C189" s="234" t="e">
        <f>(R37+R53+R69+R85+R101+R117+R133+R149+R165+R181)/$B$5</f>
        <v>#DIV/0!</v>
      </c>
      <c r="D189" s="28"/>
      <c r="P189" s="26"/>
      <c r="Q189" s="26"/>
      <c r="R189" s="26"/>
      <c r="S189" s="26"/>
      <c r="T189" s="26"/>
      <c r="U189" s="26"/>
    </row>
    <row r="190" spans="1:21" x14ac:dyDescent="0.3">
      <c r="A190" s="235">
        <v>2</v>
      </c>
      <c r="B190" s="39" t="str">
        <f xml:space="preserve"> IF($A$11 = "", "", A11)</f>
        <v/>
      </c>
      <c r="C190" s="234" t="e">
        <f>(S37+S53+S69+S85+S101+S117+S133+S149+S165+S181)/$B$5</f>
        <v>#DIV/0!</v>
      </c>
      <c r="D190" s="28"/>
      <c r="P190" s="26"/>
      <c r="Q190" s="26"/>
      <c r="R190" s="26"/>
      <c r="S190" s="26"/>
      <c r="T190" s="26"/>
      <c r="U190" s="26"/>
    </row>
    <row r="191" spans="1:21" x14ac:dyDescent="0.3">
      <c r="A191" s="235">
        <v>3</v>
      </c>
      <c r="B191" s="39" t="str">
        <f xml:space="preserve"> IF($A$12 = "", "", A12)</f>
        <v/>
      </c>
      <c r="C191" s="234" t="e">
        <f>(T37+T53+T69+T85+T101+T117+T133+T149+T165+T181)/$B$5</f>
        <v>#DIV/0!</v>
      </c>
      <c r="D191" s="28"/>
      <c r="P191" s="26"/>
      <c r="Q191" s="26"/>
      <c r="R191" s="26"/>
      <c r="S191" s="26"/>
      <c r="T191" s="26"/>
      <c r="U191" s="26"/>
    </row>
    <row r="192" spans="1:21" x14ac:dyDescent="0.3">
      <c r="A192" s="235">
        <v>4</v>
      </c>
      <c r="B192" s="39" t="str">
        <f xml:space="preserve"> IF($A$13 = "", "", A13)</f>
        <v/>
      </c>
      <c r="C192" s="234" t="e">
        <f>(U37+U53+U69+U85+U101+U117+U133+U149+U165+U181)/$B$5</f>
        <v>#DIV/0!</v>
      </c>
      <c r="D192" s="28"/>
      <c r="P192" s="26"/>
      <c r="Q192" s="26"/>
      <c r="R192" s="26"/>
      <c r="S192" s="26"/>
      <c r="T192" s="26"/>
      <c r="U192" s="26"/>
    </row>
    <row r="193" spans="1:21" x14ac:dyDescent="0.3">
      <c r="R193" s="26"/>
      <c r="S193" s="26"/>
      <c r="T193" s="26"/>
      <c r="U193" s="26"/>
    </row>
    <row r="194" spans="1:21" x14ac:dyDescent="0.3">
      <c r="R194" s="26"/>
      <c r="S194" s="26"/>
      <c r="T194" s="26"/>
      <c r="U194" s="26"/>
    </row>
    <row r="195" spans="1:21" x14ac:dyDescent="0.3">
      <c r="B195"/>
      <c r="C195"/>
      <c r="D195"/>
      <c r="E195"/>
      <c r="F195"/>
      <c r="G195"/>
      <c r="H195"/>
      <c r="I195"/>
      <c r="J195"/>
      <c r="K195"/>
      <c r="L195"/>
      <c r="M195"/>
      <c r="N195"/>
      <c r="O195"/>
      <c r="P195"/>
      <c r="Q195"/>
      <c r="R195"/>
      <c r="S195"/>
    </row>
    <row r="196" spans="1:21" ht="18" x14ac:dyDescent="0.3">
      <c r="A196" s="565" t="s">
        <v>168</v>
      </c>
      <c r="B196" s="565"/>
      <c r="C196" s="565"/>
      <c r="D196" s="1"/>
      <c r="E196" s="1"/>
      <c r="F196" s="1"/>
      <c r="G196"/>
      <c r="H196"/>
      <c r="I196"/>
      <c r="J196"/>
      <c r="K196"/>
      <c r="L196"/>
      <c r="M196"/>
      <c r="N196"/>
      <c r="O196"/>
      <c r="P196"/>
      <c r="Q196"/>
      <c r="R196"/>
      <c r="S196"/>
    </row>
    <row r="197" spans="1:21" x14ac:dyDescent="0.3">
      <c r="A197" s="655" t="s">
        <v>44</v>
      </c>
      <c r="B197" s="656" t="s">
        <v>572</v>
      </c>
      <c r="C197" s="342" t="s">
        <v>103</v>
      </c>
      <c r="D197" s="342" t="s">
        <v>68</v>
      </c>
      <c r="E197" s="343" t="s">
        <v>69</v>
      </c>
      <c r="F197" s="342" t="s">
        <v>70</v>
      </c>
      <c r="G197" s="342" t="s">
        <v>71</v>
      </c>
      <c r="H197" s="342" t="s">
        <v>72</v>
      </c>
      <c r="I197" s="342" t="s">
        <v>73</v>
      </c>
      <c r="J197" s="342" t="s">
        <v>74</v>
      </c>
      <c r="K197" s="342" t="s">
        <v>75</v>
      </c>
      <c r="L197" s="342" t="s">
        <v>76</v>
      </c>
      <c r="M197" s="342" t="s">
        <v>77</v>
      </c>
      <c r="N197" s="342" t="s">
        <v>78</v>
      </c>
      <c r="T197" s="26"/>
      <c r="U197" s="26"/>
    </row>
    <row r="198" spans="1:21" x14ac:dyDescent="0.3">
      <c r="A198" s="655"/>
      <c r="B198" s="657"/>
      <c r="C198" s="348" t="s">
        <v>80</v>
      </c>
      <c r="D198" s="348" t="s">
        <v>81</v>
      </c>
      <c r="E198" s="348" t="s">
        <v>133</v>
      </c>
      <c r="F198" s="348" t="s">
        <v>134</v>
      </c>
      <c r="G198" s="348" t="s">
        <v>84</v>
      </c>
      <c r="H198" s="348" t="s">
        <v>85</v>
      </c>
      <c r="I198" s="348" t="s">
        <v>86</v>
      </c>
      <c r="J198" s="348" t="s">
        <v>87</v>
      </c>
      <c r="K198" s="348" t="s">
        <v>88</v>
      </c>
      <c r="L198" s="348" t="s">
        <v>89</v>
      </c>
      <c r="M198" s="348" t="s">
        <v>90</v>
      </c>
      <c r="N198" s="348" t="s">
        <v>91</v>
      </c>
    </row>
    <row r="199" spans="1:21" x14ac:dyDescent="0.3">
      <c r="A199" s="235">
        <v>1</v>
      </c>
      <c r="B199" s="39" t="str">
        <f xml:space="preserve"> IF($A$10 = "", "", A10)</f>
        <v/>
      </c>
      <c r="C199" s="19" t="e">
        <f t="shared" ref="C199:N199" si="171">$C$189*C18</f>
        <v>#DIV/0!</v>
      </c>
      <c r="D199" s="19" t="e">
        <f t="shared" si="171"/>
        <v>#DIV/0!</v>
      </c>
      <c r="E199" s="19" t="e">
        <f t="shared" si="171"/>
        <v>#DIV/0!</v>
      </c>
      <c r="F199" s="19" t="e">
        <f t="shared" si="171"/>
        <v>#DIV/0!</v>
      </c>
      <c r="G199" s="19" t="e">
        <f t="shared" si="171"/>
        <v>#DIV/0!</v>
      </c>
      <c r="H199" s="19" t="e">
        <f t="shared" si="171"/>
        <v>#DIV/0!</v>
      </c>
      <c r="I199" s="19" t="e">
        <f t="shared" si="171"/>
        <v>#DIV/0!</v>
      </c>
      <c r="J199" s="19" t="e">
        <f t="shared" si="171"/>
        <v>#DIV/0!</v>
      </c>
      <c r="K199" s="19" t="e">
        <f t="shared" si="171"/>
        <v>#DIV/0!</v>
      </c>
      <c r="L199" s="19" t="e">
        <f t="shared" si="171"/>
        <v>#DIV/0!</v>
      </c>
      <c r="M199" s="19" t="e">
        <f t="shared" si="171"/>
        <v>#DIV/0!</v>
      </c>
      <c r="N199" s="19" t="e">
        <f t="shared" si="171"/>
        <v>#DIV/0!</v>
      </c>
    </row>
    <row r="200" spans="1:21" x14ac:dyDescent="0.3">
      <c r="A200" s="235">
        <v>2</v>
      </c>
      <c r="B200" s="39" t="str">
        <f xml:space="preserve"> IF($A$11 = "", "", A11)</f>
        <v/>
      </c>
      <c r="C200" s="19" t="e">
        <f t="shared" ref="C200:N200" si="172">$C$190*C19</f>
        <v>#DIV/0!</v>
      </c>
      <c r="D200" s="19" t="e">
        <f t="shared" si="172"/>
        <v>#DIV/0!</v>
      </c>
      <c r="E200" s="19" t="e">
        <f t="shared" si="172"/>
        <v>#DIV/0!</v>
      </c>
      <c r="F200" s="19" t="e">
        <f t="shared" si="172"/>
        <v>#DIV/0!</v>
      </c>
      <c r="G200" s="19" t="e">
        <f t="shared" si="172"/>
        <v>#DIV/0!</v>
      </c>
      <c r="H200" s="19" t="e">
        <f t="shared" si="172"/>
        <v>#DIV/0!</v>
      </c>
      <c r="I200" s="19" t="e">
        <f t="shared" si="172"/>
        <v>#DIV/0!</v>
      </c>
      <c r="J200" s="19" t="e">
        <f t="shared" si="172"/>
        <v>#DIV/0!</v>
      </c>
      <c r="K200" s="19" t="e">
        <f t="shared" si="172"/>
        <v>#DIV/0!</v>
      </c>
      <c r="L200" s="19" t="e">
        <f t="shared" si="172"/>
        <v>#DIV/0!</v>
      </c>
      <c r="M200" s="19" t="e">
        <f t="shared" si="172"/>
        <v>#DIV/0!</v>
      </c>
      <c r="N200" s="19" t="e">
        <f t="shared" si="172"/>
        <v>#DIV/0!</v>
      </c>
    </row>
    <row r="201" spans="1:21" x14ac:dyDescent="0.3">
      <c r="A201" s="235">
        <v>3</v>
      </c>
      <c r="B201" s="39" t="str">
        <f xml:space="preserve"> IF($A$12 = "", "", A12)</f>
        <v/>
      </c>
      <c r="C201" s="19" t="e">
        <f t="shared" ref="C201:N201" si="173">$C$191*C20</f>
        <v>#DIV/0!</v>
      </c>
      <c r="D201" s="19" t="e">
        <f t="shared" si="173"/>
        <v>#DIV/0!</v>
      </c>
      <c r="E201" s="19" t="e">
        <f t="shared" si="173"/>
        <v>#DIV/0!</v>
      </c>
      <c r="F201" s="19" t="e">
        <f t="shared" si="173"/>
        <v>#DIV/0!</v>
      </c>
      <c r="G201" s="19" t="e">
        <f t="shared" si="173"/>
        <v>#DIV/0!</v>
      </c>
      <c r="H201" s="19" t="e">
        <f t="shared" si="173"/>
        <v>#DIV/0!</v>
      </c>
      <c r="I201" s="19" t="e">
        <f t="shared" si="173"/>
        <v>#DIV/0!</v>
      </c>
      <c r="J201" s="19" t="e">
        <f t="shared" si="173"/>
        <v>#DIV/0!</v>
      </c>
      <c r="K201" s="19" t="e">
        <f t="shared" si="173"/>
        <v>#DIV/0!</v>
      </c>
      <c r="L201" s="19" t="e">
        <f t="shared" si="173"/>
        <v>#DIV/0!</v>
      </c>
      <c r="M201" s="19" t="e">
        <f t="shared" si="173"/>
        <v>#DIV/0!</v>
      </c>
      <c r="N201" s="19" t="e">
        <f t="shared" si="173"/>
        <v>#DIV/0!</v>
      </c>
    </row>
    <row r="202" spans="1:21" x14ac:dyDescent="0.3">
      <c r="A202" s="235">
        <v>4</v>
      </c>
      <c r="B202" s="39" t="str">
        <f xml:space="preserve"> IF($A$13 = "", "", A13)</f>
        <v/>
      </c>
      <c r="C202" s="19" t="e">
        <f t="shared" ref="C202:N202" si="174">$C$192*C21</f>
        <v>#DIV/0!</v>
      </c>
      <c r="D202" s="19" t="e">
        <f t="shared" si="174"/>
        <v>#DIV/0!</v>
      </c>
      <c r="E202" s="19" t="e">
        <f t="shared" si="174"/>
        <v>#DIV/0!</v>
      </c>
      <c r="F202" s="19" t="e">
        <f t="shared" si="174"/>
        <v>#DIV/0!</v>
      </c>
      <c r="G202" s="19" t="e">
        <f t="shared" si="174"/>
        <v>#DIV/0!</v>
      </c>
      <c r="H202" s="19" t="e">
        <f t="shared" si="174"/>
        <v>#DIV/0!</v>
      </c>
      <c r="I202" s="19" t="e">
        <f t="shared" si="174"/>
        <v>#DIV/0!</v>
      </c>
      <c r="J202" s="19" t="e">
        <f t="shared" si="174"/>
        <v>#DIV/0!</v>
      </c>
      <c r="K202" s="19" t="e">
        <f t="shared" si="174"/>
        <v>#DIV/0!</v>
      </c>
      <c r="L202" s="19" t="e">
        <f t="shared" si="174"/>
        <v>#DIV/0!</v>
      </c>
      <c r="M202" s="19" t="e">
        <f t="shared" si="174"/>
        <v>#DIV/0!</v>
      </c>
      <c r="N202" s="19" t="e">
        <f t="shared" si="174"/>
        <v>#DIV/0!</v>
      </c>
    </row>
    <row r="203" spans="1:21" x14ac:dyDescent="0.3">
      <c r="A203" s="29"/>
      <c r="B203" s="29"/>
      <c r="C203" s="26"/>
      <c r="D203" s="26"/>
      <c r="E203" s="26"/>
      <c r="F203" s="26"/>
      <c r="G203" s="26"/>
      <c r="H203" s="26"/>
      <c r="I203" s="26"/>
      <c r="J203" s="26"/>
      <c r="K203" s="26"/>
      <c r="L203" s="26"/>
      <c r="M203" s="26"/>
      <c r="N203" s="26"/>
    </row>
    <row r="204" spans="1:21" x14ac:dyDescent="0.3">
      <c r="A204" s="29"/>
      <c r="B204" s="29"/>
      <c r="C204" s="26"/>
      <c r="D204" s="26"/>
      <c r="E204" s="26"/>
      <c r="F204" s="26"/>
      <c r="G204" s="26"/>
      <c r="H204" s="26"/>
      <c r="I204" s="26"/>
      <c r="J204" s="26"/>
      <c r="K204" s="26"/>
      <c r="L204" s="26"/>
      <c r="M204" s="26"/>
      <c r="N204" s="26"/>
    </row>
    <row r="205" spans="1:21" ht="18" x14ac:dyDescent="0.3">
      <c r="A205" s="213" t="s">
        <v>851</v>
      </c>
      <c r="B205" s="213"/>
      <c r="C205" s="213"/>
      <c r="D205" s="12"/>
      <c r="O205" s="28" t="s">
        <v>104</v>
      </c>
    </row>
    <row r="206" spans="1:21" ht="18.75" x14ac:dyDescent="0.3">
      <c r="A206" s="314" t="s">
        <v>556</v>
      </c>
      <c r="B206" s="313"/>
      <c r="C206" s="236" t="str">
        <f>IF($B$4="","",(SUM(C199:C202)))</f>
        <v/>
      </c>
      <c r="D206" s="236" t="str">
        <f t="shared" ref="D206:N206" si="175">IF($B$4="","",(SUM(D199:D202)))</f>
        <v/>
      </c>
      <c r="E206" s="236" t="str">
        <f t="shared" si="175"/>
        <v/>
      </c>
      <c r="F206" s="236" t="str">
        <f t="shared" si="175"/>
        <v/>
      </c>
      <c r="G206" s="236" t="str">
        <f t="shared" si="175"/>
        <v/>
      </c>
      <c r="H206" s="236" t="str">
        <f t="shared" si="175"/>
        <v/>
      </c>
      <c r="I206" s="236" t="str">
        <f t="shared" si="175"/>
        <v/>
      </c>
      <c r="J206" s="236" t="str">
        <f t="shared" si="175"/>
        <v/>
      </c>
      <c r="K206" s="236" t="str">
        <f t="shared" si="175"/>
        <v/>
      </c>
      <c r="L206" s="236" t="str">
        <f t="shared" si="175"/>
        <v/>
      </c>
      <c r="M206" s="236" t="str">
        <f t="shared" si="175"/>
        <v/>
      </c>
      <c r="N206" s="236" t="str">
        <f t="shared" si="175"/>
        <v/>
      </c>
      <c r="O206" s="225">
        <f>SUM(C206:N206)</f>
        <v>0</v>
      </c>
      <c r="P206" s="50"/>
      <c r="Q206" s="50"/>
      <c r="R206" s="50"/>
      <c r="S206" s="50"/>
      <c r="T206" s="50"/>
      <c r="U206" s="50"/>
    </row>
    <row r="207" spans="1:21" x14ac:dyDescent="0.3">
      <c r="A207" s="45"/>
      <c r="B207" s="45"/>
      <c r="C207" s="653"/>
      <c r="D207" s="653"/>
      <c r="E207" s="653"/>
      <c r="F207" s="653"/>
      <c r="G207" s="653"/>
    </row>
  </sheetData>
  <mergeCells count="27">
    <mergeCell ref="C207:G207"/>
    <mergeCell ref="A15:C15"/>
    <mergeCell ref="D15:N15"/>
    <mergeCell ref="A16:A17"/>
    <mergeCell ref="B16:B17"/>
    <mergeCell ref="A196:C196"/>
    <mergeCell ref="A197:A198"/>
    <mergeCell ref="B197:B198"/>
    <mergeCell ref="A24:F24"/>
    <mergeCell ref="A186:B186"/>
    <mergeCell ref="A187:A188"/>
    <mergeCell ref="B187:B188"/>
    <mergeCell ref="C187:C188"/>
    <mergeCell ref="A1:B1"/>
    <mergeCell ref="A12:B12"/>
    <mergeCell ref="E12:F12"/>
    <mergeCell ref="H12:I12"/>
    <mergeCell ref="A13:B13"/>
    <mergeCell ref="E13:F13"/>
    <mergeCell ref="H13:I13"/>
    <mergeCell ref="A9:B9"/>
    <mergeCell ref="A10:B10"/>
    <mergeCell ref="E10:F10"/>
    <mergeCell ref="H10:I10"/>
    <mergeCell ref="A11:B11"/>
    <mergeCell ref="E11:F11"/>
    <mergeCell ref="H11:I11"/>
  </mergeCells>
  <pageMargins left="0.7" right="0.7" top="0.75" bottom="0.75" header="0.3" footer="0.3"/>
  <tableParts count="10">
    <tablePart r:id="rId1"/>
    <tablePart r:id="rId2"/>
    <tablePart r:id="rId3"/>
    <tablePart r:id="rId4"/>
    <tablePart r:id="rId5"/>
    <tablePart r:id="rId6"/>
    <tablePart r:id="rId7"/>
    <tablePart r:id="rId8"/>
    <tablePart r:id="rId9"/>
    <tablePart r:id="rId10"/>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06EFC-63B2-444A-BC8C-A4CC2C09CF4D}">
  <sheetPr codeName="Sheet18">
    <tabColor theme="0" tint="-0.249977111117893"/>
  </sheetPr>
  <dimension ref="A1:AQ113"/>
  <sheetViews>
    <sheetView workbookViewId="0">
      <selection activeCell="C2" sqref="C2"/>
    </sheetView>
  </sheetViews>
  <sheetFormatPr defaultColWidth="9.140625" defaultRowHeight="16.5" x14ac:dyDescent="0.3"/>
  <cols>
    <col min="1" max="1" width="36" style="41" customWidth="1"/>
    <col min="2" max="2" width="22.42578125" style="3" customWidth="1"/>
    <col min="3" max="3" width="26" style="12" customWidth="1"/>
    <col min="4" max="4" width="17.85546875" style="3" customWidth="1"/>
    <col min="5" max="5" width="16.140625" style="37" customWidth="1"/>
    <col min="6" max="6" width="23.42578125" style="37" customWidth="1"/>
    <col min="7" max="7" width="26.42578125" style="25" customWidth="1"/>
    <col min="8" max="8" width="5.42578125" style="25" customWidth="1"/>
    <col min="9" max="9" width="20.7109375" style="25" bestFit="1" customWidth="1"/>
    <col min="10" max="10" width="31.42578125" style="25" customWidth="1"/>
    <col min="11" max="11" width="21.140625" style="26" customWidth="1"/>
    <col min="12" max="12" width="64" style="25" customWidth="1"/>
    <col min="13" max="14" width="9.42578125" style="25" customWidth="1"/>
    <col min="15" max="15" width="19" style="3" customWidth="1"/>
    <col min="16" max="19" width="18.85546875" style="72" customWidth="1"/>
    <col min="20" max="22" width="18.85546875" style="28" customWidth="1"/>
    <col min="23" max="23" width="21.140625" style="28" customWidth="1"/>
    <col min="24" max="24" width="18.140625" style="28" customWidth="1"/>
    <col min="25" max="25" width="19.42578125" style="28" customWidth="1"/>
    <col min="26" max="26" width="19.140625" style="28" customWidth="1"/>
    <col min="27" max="27" width="83" style="28" customWidth="1"/>
    <col min="28" max="28" width="62" style="3" customWidth="1"/>
    <col min="29" max="32" width="9.140625" style="3"/>
    <col min="33" max="33" width="12.85546875" style="22" customWidth="1"/>
    <col min="34" max="16384" width="9.140625" style="3"/>
  </cols>
  <sheetData>
    <row r="1" spans="1:39" x14ac:dyDescent="0.3">
      <c r="A1" s="63" t="s">
        <v>557</v>
      </c>
      <c r="E1" s="25"/>
      <c r="F1" s="25"/>
    </row>
    <row r="2" spans="1:39" x14ac:dyDescent="0.3">
      <c r="A2" s="63"/>
      <c r="E2" s="25"/>
      <c r="F2" s="25"/>
      <c r="P2" s="636"/>
      <c r="Q2" s="636"/>
      <c r="R2" s="636"/>
      <c r="S2" s="636"/>
      <c r="T2" s="636"/>
      <c r="U2" s="636"/>
      <c r="V2" s="636"/>
      <c r="W2" s="636"/>
      <c r="X2" s="636"/>
      <c r="Y2" s="636"/>
      <c r="Z2" s="636"/>
      <c r="AA2" s="636"/>
    </row>
    <row r="3" spans="1:39" x14ac:dyDescent="0.3">
      <c r="E3" s="25"/>
      <c r="F3" s="25"/>
      <c r="K3" s="624"/>
      <c r="L3" s="624"/>
      <c r="M3" s="624"/>
      <c r="N3" s="28"/>
      <c r="P3" s="28"/>
      <c r="Q3" s="28"/>
      <c r="R3" s="75"/>
      <c r="S3" s="28"/>
    </row>
    <row r="4" spans="1:39" x14ac:dyDescent="0.3">
      <c r="A4" s="48" t="s">
        <v>171</v>
      </c>
      <c r="B4" s="48" t="s">
        <v>172</v>
      </c>
      <c r="C4" s="48" t="s">
        <v>418</v>
      </c>
      <c r="D4" s="637" t="s">
        <v>175</v>
      </c>
      <c r="E4" s="677"/>
      <c r="F4" s="677"/>
      <c r="G4" s="637" t="s">
        <v>419</v>
      </c>
      <c r="H4" s="638"/>
      <c r="I4" s="51"/>
      <c r="J4" s="45"/>
      <c r="K4" s="45"/>
      <c r="L4" s="73"/>
      <c r="M4" s="3"/>
      <c r="N4" s="3"/>
      <c r="O4" s="28"/>
      <c r="P4" s="28"/>
      <c r="Q4" s="28"/>
      <c r="R4" s="28"/>
      <c r="S4" s="28"/>
      <c r="AA4" s="3"/>
      <c r="AF4" s="22"/>
      <c r="AG4" s="3"/>
    </row>
    <row r="5" spans="1:39" x14ac:dyDescent="0.3">
      <c r="A5" s="240" t="s">
        <v>558</v>
      </c>
      <c r="B5" s="8" t="s">
        <v>196</v>
      </c>
      <c r="C5" s="48"/>
      <c r="D5" s="637"/>
      <c r="E5" s="677"/>
      <c r="F5" s="638"/>
      <c r="G5" s="216"/>
      <c r="H5" s="217"/>
      <c r="I5" s="51"/>
      <c r="J5" s="45"/>
      <c r="K5" s="45"/>
      <c r="L5" s="73"/>
      <c r="M5" s="3"/>
      <c r="N5" s="3"/>
      <c r="O5" s="28"/>
      <c r="P5" s="28"/>
      <c r="Q5" s="28"/>
      <c r="R5" s="28"/>
      <c r="S5" s="28"/>
      <c r="AA5" s="3"/>
      <c r="AF5" s="22"/>
      <c r="AG5" s="3"/>
    </row>
    <row r="6" spans="1:39" x14ac:dyDescent="0.3">
      <c r="A6" s="240" t="s">
        <v>559</v>
      </c>
      <c r="B6" s="8" t="s">
        <v>196</v>
      </c>
      <c r="C6" s="48"/>
      <c r="D6" s="637"/>
      <c r="E6" s="677"/>
      <c r="F6" s="638"/>
      <c r="G6" s="241" t="s">
        <v>993</v>
      </c>
      <c r="H6" s="217"/>
      <c r="I6" s="51"/>
      <c r="J6" s="45"/>
      <c r="K6" s="45"/>
      <c r="L6" s="73"/>
      <c r="M6" s="3"/>
      <c r="N6" s="3"/>
      <c r="O6" s="28"/>
      <c r="P6" s="28"/>
      <c r="Q6" s="28"/>
      <c r="R6" s="28"/>
      <c r="S6" s="28"/>
      <c r="AA6" s="3"/>
      <c r="AF6" s="22"/>
      <c r="AG6" s="3"/>
    </row>
    <row r="7" spans="1:39" x14ac:dyDescent="0.3">
      <c r="A7" s="240" t="s">
        <v>560</v>
      </c>
      <c r="B7" s="8" t="s">
        <v>196</v>
      </c>
      <c r="C7" s="48"/>
      <c r="D7" s="637"/>
      <c r="E7" s="677"/>
      <c r="F7" s="638"/>
      <c r="G7" s="241" t="s">
        <v>993</v>
      </c>
      <c r="H7" s="217"/>
      <c r="I7" s="51"/>
      <c r="J7" s="45"/>
      <c r="K7" s="45"/>
      <c r="L7" s="73"/>
      <c r="M7" s="3"/>
      <c r="N7" s="3"/>
      <c r="O7" s="28"/>
      <c r="P7" s="28"/>
      <c r="Q7" s="28"/>
      <c r="R7" s="28"/>
      <c r="S7" s="28"/>
      <c r="AA7" s="3"/>
      <c r="AF7" s="22"/>
      <c r="AG7" s="3"/>
    </row>
    <row r="8" spans="1:39" x14ac:dyDescent="0.3">
      <c r="A8" s="240" t="s">
        <v>560</v>
      </c>
      <c r="B8" s="8" t="s">
        <v>196</v>
      </c>
      <c r="C8" s="48"/>
      <c r="D8" s="637"/>
      <c r="E8" s="677"/>
      <c r="F8" s="638"/>
      <c r="G8" s="241" t="s">
        <v>993</v>
      </c>
      <c r="H8" s="217"/>
      <c r="I8" s="51"/>
      <c r="K8" s="30"/>
      <c r="M8" s="73"/>
      <c r="N8" s="73"/>
      <c r="V8" s="30"/>
      <c r="W8" s="30"/>
    </row>
    <row r="9" spans="1:39" x14ac:dyDescent="0.3">
      <c r="A9" s="240" t="s">
        <v>966</v>
      </c>
      <c r="B9" s="8" t="s">
        <v>196</v>
      </c>
      <c r="C9" s="48"/>
      <c r="D9" s="637"/>
      <c r="E9" s="677"/>
      <c r="F9" s="638"/>
      <c r="G9" s="241" t="s">
        <v>993</v>
      </c>
      <c r="H9" s="217"/>
      <c r="I9" s="51"/>
      <c r="K9" s="30"/>
      <c r="M9" s="73"/>
      <c r="N9" s="73"/>
      <c r="V9" s="30"/>
      <c r="W9" s="30"/>
    </row>
    <row r="10" spans="1:39" x14ac:dyDescent="0.3">
      <c r="D10" s="623"/>
      <c r="E10" s="623"/>
      <c r="F10" s="623"/>
      <c r="K10" s="30"/>
      <c r="M10" s="4"/>
      <c r="N10" s="4"/>
      <c r="V10" s="30"/>
      <c r="W10" s="30"/>
    </row>
    <row r="11" spans="1:39" x14ac:dyDescent="0.3">
      <c r="A11" s="23" t="s">
        <v>991</v>
      </c>
      <c r="C11" s="26"/>
      <c r="D11" s="25"/>
      <c r="E11" s="25"/>
      <c r="F11" s="70"/>
      <c r="G11" s="27"/>
      <c r="H11" s="27"/>
      <c r="I11" s="27"/>
      <c r="J11" s="30"/>
      <c r="K11" s="3"/>
      <c r="L11" s="3"/>
      <c r="M11" s="4"/>
      <c r="N11" s="4"/>
      <c r="O11" s="696" t="s">
        <v>366</v>
      </c>
      <c r="P11" s="696"/>
      <c r="Q11" s="696"/>
      <c r="R11" s="696"/>
      <c r="S11" s="696"/>
      <c r="T11" s="696"/>
      <c r="U11" s="696"/>
      <c r="V11" s="696"/>
      <c r="W11" s="696"/>
      <c r="X11" s="696"/>
      <c r="Y11" s="696"/>
      <c r="Z11" s="696"/>
      <c r="AB11" s="28"/>
      <c r="AC11" s="28"/>
      <c r="AG11" s="3"/>
      <c r="AI11" s="22"/>
    </row>
    <row r="12" spans="1:39" x14ac:dyDescent="0.3">
      <c r="C12" s="28"/>
      <c r="D12" s="28"/>
      <c r="E12" s="28"/>
      <c r="F12" s="28"/>
      <c r="G12" s="28"/>
      <c r="H12" s="28"/>
      <c r="I12" s="28"/>
      <c r="J12" s="70"/>
      <c r="K12" s="12"/>
      <c r="L12" s="12"/>
      <c r="M12" s="4"/>
      <c r="N12" s="4" t="s">
        <v>44</v>
      </c>
      <c r="O12" s="39" t="s">
        <v>103</v>
      </c>
      <c r="P12" s="39" t="s">
        <v>68</v>
      </c>
      <c r="Q12" s="330" t="s">
        <v>69</v>
      </c>
      <c r="R12" s="39" t="s">
        <v>70</v>
      </c>
      <c r="S12" s="39" t="s">
        <v>71</v>
      </c>
      <c r="T12" s="39" t="s">
        <v>72</v>
      </c>
      <c r="U12" s="39" t="s">
        <v>73</v>
      </c>
      <c r="V12" s="39" t="s">
        <v>74</v>
      </c>
      <c r="W12" s="39" t="s">
        <v>75</v>
      </c>
      <c r="X12" s="39" t="s">
        <v>76</v>
      </c>
      <c r="Y12" s="39" t="s">
        <v>77</v>
      </c>
      <c r="Z12" s="39" t="s">
        <v>78</v>
      </c>
      <c r="AA12" s="3"/>
      <c r="AD12" s="28"/>
      <c r="AE12" s="28"/>
      <c r="AF12" s="28"/>
      <c r="AG12" s="28"/>
      <c r="AM12" s="22"/>
    </row>
    <row r="13" spans="1:39" ht="33" x14ac:dyDescent="0.3">
      <c r="A13" s="48" t="s">
        <v>171</v>
      </c>
      <c r="B13" s="48" t="s">
        <v>172</v>
      </c>
      <c r="C13" s="49" t="s">
        <v>444</v>
      </c>
      <c r="D13" s="678" t="s">
        <v>367</v>
      </c>
      <c r="E13" s="697"/>
      <c r="F13" s="697"/>
      <c r="G13" s="679"/>
      <c r="H13" s="45"/>
      <c r="I13" s="242" t="s">
        <v>44</v>
      </c>
      <c r="J13" s="242" t="s">
        <v>153</v>
      </c>
      <c r="K13" s="698" t="s">
        <v>368</v>
      </c>
      <c r="L13" s="699"/>
      <c r="M13" s="4"/>
      <c r="N13" s="4"/>
      <c r="O13" s="39" t="s">
        <v>80</v>
      </c>
      <c r="P13" s="39" t="s">
        <v>81</v>
      </c>
      <c r="Q13" s="39" t="s">
        <v>133</v>
      </c>
      <c r="R13" s="39" t="s">
        <v>134</v>
      </c>
      <c r="S13" s="39" t="s">
        <v>84</v>
      </c>
      <c r="T13" s="39" t="s">
        <v>85</v>
      </c>
      <c r="U13" s="39" t="s">
        <v>86</v>
      </c>
      <c r="V13" s="39" t="s">
        <v>87</v>
      </c>
      <c r="W13" s="39" t="s">
        <v>88</v>
      </c>
      <c r="X13" s="39" t="s">
        <v>89</v>
      </c>
      <c r="Y13" s="39" t="s">
        <v>90</v>
      </c>
      <c r="Z13" s="119" t="s">
        <v>91</v>
      </c>
      <c r="AA13" s="39" t="s">
        <v>370</v>
      </c>
      <c r="AD13" s="28"/>
      <c r="AE13" s="28"/>
      <c r="AF13" s="28"/>
      <c r="AG13" s="28"/>
      <c r="AM13" s="22"/>
    </row>
    <row r="14" spans="1:39" x14ac:dyDescent="0.3">
      <c r="A14" s="74" t="s">
        <v>558</v>
      </c>
      <c r="B14" s="8" t="s">
        <v>196</v>
      </c>
      <c r="C14" s="12" t="s">
        <v>967</v>
      </c>
      <c r="D14" s="615" t="s">
        <v>378</v>
      </c>
      <c r="E14" s="616"/>
      <c r="F14" s="616"/>
      <c r="G14" s="617"/>
      <c r="I14" s="240" t="s">
        <v>558</v>
      </c>
      <c r="J14" s="112" t="s">
        <v>561</v>
      </c>
      <c r="K14" s="625" t="s">
        <v>562</v>
      </c>
      <c r="L14" s="625"/>
      <c r="M14" s="4"/>
      <c r="N14" s="4"/>
      <c r="O14" s="18">
        <v>0</v>
      </c>
      <c r="P14" s="18">
        <v>0.08</v>
      </c>
      <c r="Q14" s="18">
        <v>0.09</v>
      </c>
      <c r="R14" s="18">
        <v>0.2</v>
      </c>
      <c r="S14" s="18">
        <v>0.19</v>
      </c>
      <c r="T14" s="18">
        <v>0.1</v>
      </c>
      <c r="U14" s="18">
        <v>0.11</v>
      </c>
      <c r="V14" s="18">
        <v>0.08</v>
      </c>
      <c r="W14" s="18">
        <v>0.05</v>
      </c>
      <c r="X14" s="18">
        <v>0.03</v>
      </c>
      <c r="Y14" s="18">
        <v>0.02</v>
      </c>
      <c r="Z14" s="18">
        <v>0.05</v>
      </c>
      <c r="AA14" s="13" t="s">
        <v>446</v>
      </c>
      <c r="AD14" s="28"/>
      <c r="AE14" s="28"/>
      <c r="AF14" s="28"/>
      <c r="AG14" s="28"/>
      <c r="AM14" s="22"/>
    </row>
    <row r="15" spans="1:39" x14ac:dyDescent="0.3">
      <c r="A15" s="74" t="s">
        <v>558</v>
      </c>
      <c r="B15" s="8" t="s">
        <v>196</v>
      </c>
      <c r="C15" s="19"/>
      <c r="D15" s="615"/>
      <c r="E15" s="616"/>
      <c r="F15" s="616"/>
      <c r="G15" s="617"/>
      <c r="I15" s="74" t="s">
        <v>992</v>
      </c>
      <c r="J15" s="112" t="s">
        <v>547</v>
      </c>
      <c r="K15" s="625" t="s">
        <v>563</v>
      </c>
      <c r="L15" s="625"/>
      <c r="M15" s="4"/>
      <c r="N15" s="4"/>
      <c r="O15" s="18">
        <v>0</v>
      </c>
      <c r="P15" s="18">
        <v>0.01</v>
      </c>
      <c r="Q15" s="18">
        <v>0.01</v>
      </c>
      <c r="R15" s="18">
        <v>0.02</v>
      </c>
      <c r="S15" s="18">
        <v>0.05</v>
      </c>
      <c r="T15" s="18">
        <v>0.12</v>
      </c>
      <c r="U15" s="18">
        <v>0.18</v>
      </c>
      <c r="V15" s="18">
        <v>0.21</v>
      </c>
      <c r="W15" s="18">
        <v>0.4</v>
      </c>
      <c r="X15" s="18">
        <v>0</v>
      </c>
      <c r="Y15" s="18">
        <v>0</v>
      </c>
      <c r="Z15" s="139">
        <v>0</v>
      </c>
      <c r="AA15" s="8" t="s">
        <v>378</v>
      </c>
      <c r="AD15" s="28"/>
      <c r="AE15" s="28"/>
      <c r="AF15" s="28"/>
      <c r="AG15" s="28"/>
      <c r="AM15" s="22"/>
    </row>
    <row r="16" spans="1:39" x14ac:dyDescent="0.3">
      <c r="A16" s="74" t="s">
        <v>558</v>
      </c>
      <c r="B16" s="8" t="s">
        <v>196</v>
      </c>
      <c r="C16" s="19"/>
      <c r="D16" s="615"/>
      <c r="E16" s="616"/>
      <c r="F16" s="616"/>
      <c r="G16" s="617"/>
      <c r="I16" s="74" t="s">
        <v>992</v>
      </c>
      <c r="J16" s="112" t="s">
        <v>549</v>
      </c>
      <c r="K16" s="625" t="s">
        <v>563</v>
      </c>
      <c r="L16" s="625"/>
      <c r="M16" s="4"/>
      <c r="N16" s="4"/>
      <c r="O16" s="71"/>
      <c r="P16" s="71"/>
      <c r="Q16" s="71"/>
      <c r="R16" s="71"/>
      <c r="S16" s="71"/>
      <c r="T16" s="71"/>
      <c r="U16" s="71"/>
      <c r="V16" s="71"/>
      <c r="W16" s="71"/>
      <c r="X16" s="71"/>
      <c r="Y16" s="71"/>
      <c r="Z16" s="156"/>
      <c r="AA16" s="8"/>
      <c r="AD16" s="28"/>
      <c r="AE16" s="28"/>
      <c r="AF16" s="28"/>
      <c r="AG16" s="28"/>
      <c r="AM16" s="22"/>
    </row>
    <row r="17" spans="1:43" x14ac:dyDescent="0.3">
      <c r="A17" s="74" t="s">
        <v>558</v>
      </c>
      <c r="B17" s="8" t="s">
        <v>196</v>
      </c>
      <c r="C17" s="19"/>
      <c r="D17" s="615"/>
      <c r="E17" s="616"/>
      <c r="F17" s="616"/>
      <c r="G17" s="617"/>
      <c r="I17" s="240" t="s">
        <v>558</v>
      </c>
      <c r="J17" s="112">
        <v>6</v>
      </c>
      <c r="K17" s="215" t="s">
        <v>378</v>
      </c>
      <c r="L17" s="65"/>
      <c r="O17" s="13"/>
      <c r="P17" s="71"/>
      <c r="Q17" s="71"/>
      <c r="R17" s="71"/>
      <c r="S17" s="71"/>
      <c r="T17" s="71"/>
      <c r="U17" s="71"/>
      <c r="V17" s="71"/>
      <c r="W17" s="71"/>
      <c r="X17" s="71"/>
      <c r="Y17" s="71"/>
      <c r="Z17" s="156"/>
      <c r="AA17" s="8"/>
      <c r="AD17" s="28"/>
      <c r="AE17" s="28"/>
      <c r="AF17" s="28"/>
      <c r="AG17" s="28"/>
      <c r="AM17" s="22"/>
    </row>
    <row r="18" spans="1:43" x14ac:dyDescent="0.3">
      <c r="A18" s="74" t="s">
        <v>558</v>
      </c>
      <c r="B18" s="8" t="s">
        <v>196</v>
      </c>
      <c r="C18" s="19"/>
      <c r="D18" s="615"/>
      <c r="E18" s="616"/>
      <c r="F18" s="616"/>
      <c r="G18" s="617"/>
      <c r="I18" s="240" t="s">
        <v>558</v>
      </c>
      <c r="J18" s="112">
        <v>7.1</v>
      </c>
      <c r="K18" s="215" t="s">
        <v>378</v>
      </c>
      <c r="L18" s="65"/>
      <c r="O18" s="13"/>
      <c r="P18" s="71"/>
      <c r="Q18" s="71"/>
      <c r="R18" s="71"/>
      <c r="S18" s="71"/>
      <c r="T18" s="71"/>
      <c r="U18" s="71"/>
      <c r="V18" s="71"/>
      <c r="W18" s="71"/>
      <c r="X18" s="71"/>
      <c r="Y18" s="71"/>
      <c r="Z18" s="156"/>
      <c r="AA18" s="8"/>
      <c r="AD18" s="28"/>
      <c r="AE18" s="28"/>
      <c r="AF18" s="28"/>
      <c r="AG18" s="28"/>
      <c r="AM18" s="22"/>
    </row>
    <row r="19" spans="1:43" x14ac:dyDescent="0.3">
      <c r="A19" s="74" t="s">
        <v>559</v>
      </c>
      <c r="B19" s="8" t="s">
        <v>196</v>
      </c>
      <c r="C19" s="19"/>
      <c r="D19" s="615"/>
      <c r="E19" s="616"/>
      <c r="F19" s="616"/>
      <c r="G19" s="617"/>
      <c r="I19" s="112"/>
      <c r="J19" s="112"/>
      <c r="K19" s="625"/>
      <c r="L19" s="625"/>
      <c r="M19" s="4"/>
      <c r="N19" s="4"/>
      <c r="O19" s="71"/>
      <c r="P19" s="71"/>
      <c r="Q19" s="71"/>
      <c r="R19" s="71"/>
      <c r="S19" s="71"/>
      <c r="T19" s="71"/>
      <c r="U19" s="71"/>
      <c r="V19" s="71"/>
      <c r="W19" s="71"/>
      <c r="X19" s="71"/>
      <c r="Y19" s="71"/>
      <c r="Z19" s="156"/>
      <c r="AA19" s="8"/>
      <c r="AD19" s="28"/>
      <c r="AE19" s="28"/>
      <c r="AF19" s="28"/>
      <c r="AG19" s="28"/>
      <c r="AM19" s="22"/>
    </row>
    <row r="20" spans="1:43" x14ac:dyDescent="0.3">
      <c r="A20" s="74" t="s">
        <v>560</v>
      </c>
      <c r="B20" s="8" t="s">
        <v>196</v>
      </c>
      <c r="C20" s="19"/>
      <c r="D20" s="615"/>
      <c r="E20" s="616"/>
      <c r="F20" s="616"/>
      <c r="G20" s="617"/>
      <c r="I20" s="112"/>
      <c r="J20" s="112"/>
      <c r="K20" s="625"/>
      <c r="L20" s="625"/>
      <c r="M20" s="4"/>
      <c r="N20" s="4"/>
      <c r="O20" s="71"/>
      <c r="P20" s="71"/>
      <c r="Q20" s="71"/>
      <c r="R20" s="71"/>
      <c r="S20" s="71"/>
      <c r="T20" s="71"/>
      <c r="U20" s="71"/>
      <c r="V20" s="71"/>
      <c r="W20" s="71"/>
      <c r="X20" s="71"/>
      <c r="Y20" s="71"/>
      <c r="Z20" s="156"/>
      <c r="AA20" s="8"/>
      <c r="AD20" s="28"/>
      <c r="AE20" s="28"/>
      <c r="AF20" s="28"/>
      <c r="AG20" s="28"/>
      <c r="AM20" s="22"/>
    </row>
    <row r="21" spans="1:43" x14ac:dyDescent="0.3">
      <c r="A21" s="240" t="s">
        <v>966</v>
      </c>
      <c r="B21" s="8" t="s">
        <v>196</v>
      </c>
      <c r="C21" s="19"/>
      <c r="D21" s="615"/>
      <c r="E21" s="616"/>
      <c r="F21" s="616"/>
      <c r="G21" s="617"/>
      <c r="H21" s="27"/>
      <c r="I21" s="112"/>
      <c r="J21" s="112"/>
      <c r="K21" s="625"/>
      <c r="L21" s="625"/>
      <c r="O21" s="30"/>
      <c r="P21" s="30"/>
      <c r="Q21" s="28"/>
      <c r="R21" s="28"/>
      <c r="S21" s="28"/>
      <c r="U21" s="3"/>
      <c r="V21" s="3"/>
      <c r="W21" s="3"/>
    </row>
    <row r="22" spans="1:43" x14ac:dyDescent="0.3">
      <c r="C22" s="31"/>
      <c r="D22" s="31"/>
      <c r="E22" s="32"/>
      <c r="F22" s="70"/>
      <c r="G22" s="4"/>
      <c r="H22" s="4"/>
      <c r="I22" s="4"/>
      <c r="J22" s="30"/>
      <c r="K22" s="33"/>
      <c r="L22" s="33"/>
      <c r="O22" s="72">
        <f>AVERAGE(O14:O15)</f>
        <v>0</v>
      </c>
      <c r="P22" s="72">
        <f t="shared" ref="P22:Z22" si="0">AVERAGE(P14:P15)</f>
        <v>4.4999999999999998E-2</v>
      </c>
      <c r="Q22" s="72">
        <f t="shared" si="0"/>
        <v>4.9999999999999996E-2</v>
      </c>
      <c r="R22" s="72">
        <f t="shared" si="0"/>
        <v>0.11</v>
      </c>
      <c r="S22" s="72">
        <f t="shared" si="0"/>
        <v>0.12</v>
      </c>
      <c r="T22" s="72">
        <f t="shared" si="0"/>
        <v>0.11</v>
      </c>
      <c r="U22" s="72">
        <f t="shared" si="0"/>
        <v>0.14499999999999999</v>
      </c>
      <c r="V22" s="72">
        <f t="shared" si="0"/>
        <v>0.14499999999999999</v>
      </c>
      <c r="W22" s="72">
        <f t="shared" si="0"/>
        <v>0.22500000000000001</v>
      </c>
      <c r="X22" s="72">
        <f t="shared" si="0"/>
        <v>1.4999999999999999E-2</v>
      </c>
      <c r="Y22" s="72">
        <f t="shared" si="0"/>
        <v>0.01</v>
      </c>
      <c r="Z22" s="72">
        <f t="shared" si="0"/>
        <v>2.5000000000000001E-2</v>
      </c>
    </row>
    <row r="23" spans="1:43" x14ac:dyDescent="0.3">
      <c r="C23" s="30"/>
      <c r="D23" s="31"/>
      <c r="E23" s="31"/>
      <c r="F23" s="70"/>
      <c r="G23" s="32"/>
      <c r="H23" s="32"/>
      <c r="I23" s="32"/>
      <c r="J23" s="30"/>
      <c r="K23" s="4"/>
      <c r="L23" s="4"/>
      <c r="O23" s="28"/>
      <c r="P23" s="28"/>
      <c r="Q23" s="28"/>
      <c r="R23" s="28"/>
      <c r="S23" s="28"/>
      <c r="U23" s="3"/>
      <c r="V23" s="3"/>
      <c r="W23" s="3"/>
    </row>
    <row r="24" spans="1:43" x14ac:dyDescent="0.3">
      <c r="C24" s="3"/>
      <c r="E24" s="3"/>
      <c r="F24" s="70"/>
      <c r="G24" s="3"/>
      <c r="H24" s="3"/>
      <c r="I24" s="3"/>
      <c r="J24" s="30"/>
      <c r="K24" s="3"/>
      <c r="L24" s="3"/>
      <c r="O24" s="28"/>
      <c r="P24" s="28"/>
      <c r="Q24" s="28"/>
      <c r="R24" s="28"/>
      <c r="S24" s="28"/>
      <c r="U24" s="3"/>
      <c r="V24" s="3"/>
      <c r="W24" s="3"/>
    </row>
    <row r="25" spans="1:43" s="28" customFormat="1" x14ac:dyDescent="0.3">
      <c r="A25" s="41"/>
      <c r="B25" s="3"/>
      <c r="C25" s="3"/>
      <c r="D25" s="3"/>
      <c r="E25" s="3"/>
      <c r="F25" s="70"/>
      <c r="G25" s="3"/>
      <c r="H25" s="3"/>
      <c r="I25" s="3"/>
      <c r="J25" s="30"/>
      <c r="K25" s="3"/>
      <c r="L25" s="3"/>
      <c r="M25" s="25"/>
      <c r="N25" s="25"/>
      <c r="U25" s="3"/>
      <c r="V25" s="3"/>
      <c r="W25" s="3"/>
      <c r="AB25" s="3"/>
      <c r="AC25" s="3"/>
      <c r="AD25" s="3"/>
      <c r="AE25" s="3"/>
      <c r="AF25" s="3"/>
      <c r="AG25" s="22"/>
      <c r="AH25" s="3"/>
      <c r="AI25" s="3"/>
      <c r="AJ25" s="3"/>
      <c r="AK25" s="3"/>
      <c r="AL25" s="3"/>
      <c r="AM25" s="3"/>
      <c r="AN25" s="3"/>
      <c r="AO25" s="3"/>
      <c r="AP25" s="3"/>
      <c r="AQ25" s="3"/>
    </row>
    <row r="26" spans="1:43" s="28" customFormat="1" x14ac:dyDescent="0.3">
      <c r="A26" s="41"/>
      <c r="B26" s="3"/>
      <c r="C26" s="3"/>
      <c r="D26" s="3"/>
      <c r="E26" s="3"/>
      <c r="F26" s="70"/>
      <c r="G26" s="3"/>
      <c r="H26" s="3"/>
      <c r="I26" s="3"/>
      <c r="J26" s="30"/>
      <c r="K26" s="3"/>
      <c r="L26" s="3"/>
      <c r="M26" s="25"/>
      <c r="N26" s="25"/>
      <c r="U26" s="3"/>
      <c r="V26" s="3"/>
      <c r="W26" s="3"/>
      <c r="AB26" s="3"/>
      <c r="AC26" s="3"/>
      <c r="AD26" s="3"/>
      <c r="AE26" s="3"/>
      <c r="AF26" s="3"/>
      <c r="AG26" s="22"/>
      <c r="AH26" s="3"/>
      <c r="AI26" s="3"/>
      <c r="AJ26" s="3"/>
      <c r="AK26" s="3"/>
      <c r="AL26" s="3"/>
      <c r="AM26" s="3"/>
      <c r="AN26" s="3"/>
      <c r="AO26" s="3"/>
      <c r="AP26" s="3"/>
      <c r="AQ26" s="3"/>
    </row>
    <row r="27" spans="1:43" s="28" customFormat="1" x14ac:dyDescent="0.3">
      <c r="A27" s="41"/>
      <c r="B27" s="3"/>
      <c r="C27" s="30"/>
      <c r="D27" s="30"/>
      <c r="E27" s="30"/>
      <c r="F27" s="70"/>
      <c r="G27" s="30"/>
      <c r="H27" s="30"/>
      <c r="I27" s="30"/>
      <c r="J27" s="30"/>
      <c r="K27" s="30"/>
      <c r="L27" s="30"/>
      <c r="M27" s="25"/>
      <c r="N27" s="25"/>
      <c r="O27" s="30"/>
      <c r="U27" s="3"/>
      <c r="V27" s="3"/>
      <c r="W27" s="3"/>
      <c r="AB27" s="3"/>
      <c r="AC27" s="3"/>
      <c r="AD27" s="3"/>
      <c r="AE27" s="3"/>
      <c r="AF27" s="3"/>
      <c r="AG27" s="22"/>
      <c r="AH27" s="3"/>
      <c r="AI27" s="3"/>
      <c r="AJ27" s="3"/>
      <c r="AK27" s="3"/>
      <c r="AL27" s="3"/>
      <c r="AM27" s="3"/>
      <c r="AN27" s="3"/>
      <c r="AO27" s="3"/>
      <c r="AP27" s="3"/>
      <c r="AQ27" s="3"/>
    </row>
    <row r="28" spans="1:43" s="28" customFormat="1" x14ac:dyDescent="0.3">
      <c r="A28" s="41"/>
      <c r="B28" s="3"/>
      <c r="C28" s="30"/>
      <c r="D28" s="30"/>
      <c r="E28" s="30"/>
      <c r="F28" s="70"/>
      <c r="G28" s="30"/>
      <c r="H28" s="30"/>
      <c r="I28" s="30"/>
      <c r="J28" s="30"/>
      <c r="K28" s="30"/>
      <c r="L28" s="30"/>
      <c r="M28" s="25"/>
      <c r="N28" s="25"/>
      <c r="O28" s="30"/>
      <c r="U28" s="3"/>
      <c r="V28" s="3"/>
      <c r="W28" s="3"/>
      <c r="AB28" s="3"/>
      <c r="AC28" s="3"/>
      <c r="AD28" s="3"/>
      <c r="AE28" s="3"/>
      <c r="AF28" s="3"/>
      <c r="AG28" s="22"/>
      <c r="AH28" s="3"/>
      <c r="AI28" s="3"/>
      <c r="AJ28" s="3"/>
      <c r="AK28" s="3"/>
      <c r="AL28" s="3"/>
      <c r="AM28" s="3"/>
      <c r="AN28" s="3"/>
      <c r="AO28" s="3"/>
      <c r="AP28" s="3"/>
      <c r="AQ28" s="3"/>
    </row>
    <row r="29" spans="1:43" s="28" customFormat="1" x14ac:dyDescent="0.3">
      <c r="A29" s="41"/>
      <c r="B29" s="3"/>
      <c r="C29" s="30"/>
      <c r="D29" s="25"/>
      <c r="E29" s="25"/>
      <c r="F29" s="70"/>
      <c r="G29" s="27"/>
      <c r="H29" s="27"/>
      <c r="I29" s="27"/>
      <c r="J29" s="30"/>
      <c r="K29" s="3"/>
      <c r="L29" s="3"/>
      <c r="M29" s="25"/>
      <c r="N29" s="25"/>
      <c r="O29" s="30"/>
      <c r="P29" s="30"/>
      <c r="U29" s="3"/>
      <c r="V29" s="3"/>
      <c r="W29" s="3"/>
      <c r="AB29" s="3"/>
      <c r="AC29" s="3"/>
      <c r="AD29" s="3"/>
      <c r="AE29" s="3"/>
      <c r="AF29" s="3"/>
      <c r="AG29" s="22"/>
      <c r="AH29" s="3"/>
      <c r="AI29" s="3"/>
      <c r="AJ29" s="3"/>
      <c r="AK29" s="3"/>
      <c r="AL29" s="3"/>
      <c r="AM29" s="3"/>
      <c r="AN29" s="3"/>
      <c r="AO29" s="3"/>
      <c r="AP29" s="3"/>
      <c r="AQ29" s="3"/>
    </row>
    <row r="30" spans="1:43" s="28" customFormat="1" x14ac:dyDescent="0.3">
      <c r="A30" s="41"/>
      <c r="B30" s="3"/>
      <c r="C30" s="30"/>
      <c r="D30" s="25"/>
      <c r="E30" s="25"/>
      <c r="F30" s="70"/>
      <c r="G30" s="27"/>
      <c r="H30" s="27"/>
      <c r="I30" s="27"/>
      <c r="J30" s="30"/>
      <c r="K30" s="3"/>
      <c r="L30" s="3"/>
      <c r="M30" s="25"/>
      <c r="N30" s="25"/>
      <c r="O30" s="30"/>
      <c r="P30" s="30"/>
      <c r="U30" s="3"/>
      <c r="V30" s="3"/>
      <c r="W30" s="3"/>
      <c r="AB30" s="3"/>
      <c r="AC30" s="3"/>
      <c r="AD30" s="3"/>
      <c r="AE30" s="3"/>
      <c r="AF30" s="3"/>
      <c r="AG30" s="22"/>
      <c r="AH30" s="3"/>
      <c r="AI30" s="3"/>
      <c r="AJ30" s="3"/>
      <c r="AK30" s="3"/>
      <c r="AL30" s="3"/>
      <c r="AM30" s="3"/>
      <c r="AN30" s="3"/>
      <c r="AO30" s="3"/>
      <c r="AP30" s="3"/>
      <c r="AQ30" s="3"/>
    </row>
    <row r="31" spans="1:43" s="28" customFormat="1" x14ac:dyDescent="0.3">
      <c r="A31" s="41"/>
      <c r="B31" s="3"/>
      <c r="C31" s="30"/>
      <c r="D31" s="25"/>
      <c r="E31" s="25"/>
      <c r="F31" s="70"/>
      <c r="G31" s="27"/>
      <c r="H31" s="27"/>
      <c r="I31" s="27"/>
      <c r="J31" s="30"/>
      <c r="K31" s="3"/>
      <c r="L31" s="3"/>
      <c r="M31" s="25"/>
      <c r="N31" s="25"/>
      <c r="O31" s="30"/>
      <c r="P31" s="30"/>
      <c r="U31" s="3"/>
      <c r="V31" s="3"/>
      <c r="W31" s="3"/>
      <c r="AB31" s="3"/>
      <c r="AC31" s="3"/>
      <c r="AD31" s="3"/>
      <c r="AE31" s="3"/>
      <c r="AF31" s="3"/>
      <c r="AG31" s="22"/>
      <c r="AH31" s="3"/>
      <c r="AI31" s="3"/>
      <c r="AJ31" s="3"/>
      <c r="AK31" s="3"/>
      <c r="AL31" s="3"/>
      <c r="AM31" s="3"/>
      <c r="AN31" s="3"/>
      <c r="AO31" s="3"/>
      <c r="AP31" s="3"/>
      <c r="AQ31" s="3"/>
    </row>
    <row r="32" spans="1:43" s="28" customFormat="1" x14ac:dyDescent="0.3">
      <c r="A32" s="41"/>
      <c r="B32" s="3"/>
      <c r="C32" s="30"/>
      <c r="D32" s="25"/>
      <c r="E32" s="25"/>
      <c r="F32" s="70"/>
      <c r="G32" s="27"/>
      <c r="H32" s="27"/>
      <c r="I32" s="27"/>
      <c r="J32" s="30"/>
      <c r="K32" s="3"/>
      <c r="L32" s="3"/>
      <c r="M32" s="25"/>
      <c r="N32" s="25"/>
      <c r="O32" s="30"/>
      <c r="P32" s="30"/>
      <c r="U32" s="3"/>
      <c r="V32" s="3"/>
      <c r="W32" s="3"/>
      <c r="AB32" s="3"/>
      <c r="AC32" s="3"/>
      <c r="AD32" s="3"/>
      <c r="AE32" s="3"/>
      <c r="AF32" s="3"/>
      <c r="AG32" s="22"/>
      <c r="AH32" s="3"/>
      <c r="AI32" s="3"/>
      <c r="AJ32" s="3"/>
      <c r="AK32" s="3"/>
      <c r="AL32" s="3"/>
      <c r="AM32" s="3"/>
      <c r="AN32" s="3"/>
      <c r="AO32" s="3"/>
      <c r="AP32" s="3"/>
      <c r="AQ32" s="3"/>
    </row>
    <row r="33" spans="1:43" s="28" customFormat="1" x14ac:dyDescent="0.3">
      <c r="A33" s="41"/>
      <c r="B33" s="3"/>
      <c r="C33" s="12"/>
      <c r="D33" s="623"/>
      <c r="E33" s="623"/>
      <c r="F33" s="623"/>
      <c r="G33" s="25"/>
      <c r="H33" s="25"/>
      <c r="I33" s="25"/>
      <c r="J33" s="25"/>
      <c r="K33" s="30"/>
      <c r="L33" s="25"/>
      <c r="M33" s="25"/>
      <c r="N33" s="25"/>
      <c r="O33" s="3"/>
      <c r="P33" s="72"/>
      <c r="Q33" s="72"/>
      <c r="R33" s="72"/>
      <c r="S33" s="72"/>
      <c r="V33" s="30"/>
      <c r="W33" s="30"/>
      <c r="AB33" s="3"/>
      <c r="AC33" s="3"/>
      <c r="AD33" s="3"/>
      <c r="AE33" s="3"/>
      <c r="AF33" s="3"/>
      <c r="AG33" s="22"/>
      <c r="AH33" s="3"/>
      <c r="AI33" s="3"/>
      <c r="AJ33" s="3"/>
      <c r="AK33" s="3"/>
      <c r="AL33" s="3"/>
      <c r="AM33" s="3"/>
      <c r="AN33" s="3"/>
      <c r="AO33" s="3"/>
      <c r="AP33" s="3"/>
      <c r="AQ33" s="3"/>
    </row>
    <row r="34" spans="1:43" s="28" customFormat="1" x14ac:dyDescent="0.3">
      <c r="A34" s="41"/>
      <c r="B34" s="3"/>
      <c r="C34" s="12"/>
      <c r="D34" s="623"/>
      <c r="E34" s="623"/>
      <c r="F34" s="623"/>
      <c r="G34" s="25"/>
      <c r="H34" s="25"/>
      <c r="I34" s="25"/>
      <c r="J34" s="25"/>
      <c r="K34" s="30"/>
      <c r="L34" s="25"/>
      <c r="M34" s="25"/>
      <c r="N34" s="25"/>
      <c r="O34" s="3"/>
      <c r="P34" s="72"/>
      <c r="Q34" s="72"/>
      <c r="R34" s="72"/>
      <c r="S34" s="72"/>
      <c r="V34" s="30"/>
      <c r="W34" s="30"/>
      <c r="AB34" s="3"/>
      <c r="AC34" s="3"/>
      <c r="AD34" s="3"/>
      <c r="AE34" s="3"/>
      <c r="AF34" s="3"/>
      <c r="AG34" s="22"/>
      <c r="AH34" s="3"/>
      <c r="AI34" s="3"/>
      <c r="AJ34" s="3"/>
      <c r="AK34" s="3"/>
      <c r="AL34" s="3"/>
      <c r="AM34" s="3"/>
      <c r="AN34" s="3"/>
      <c r="AO34" s="3"/>
      <c r="AP34" s="3"/>
      <c r="AQ34" s="3"/>
    </row>
    <row r="35" spans="1:43" s="28" customFormat="1" x14ac:dyDescent="0.3">
      <c r="A35" s="41"/>
      <c r="B35" s="3"/>
      <c r="C35" s="12"/>
      <c r="D35" s="623"/>
      <c r="E35" s="623"/>
      <c r="F35" s="623"/>
      <c r="G35" s="25"/>
      <c r="H35" s="25"/>
      <c r="I35" s="25"/>
      <c r="J35" s="25"/>
      <c r="K35" s="30"/>
      <c r="L35" s="25"/>
      <c r="M35" s="25"/>
      <c r="N35" s="25"/>
      <c r="O35" s="3"/>
      <c r="P35" s="72"/>
      <c r="Q35" s="72"/>
      <c r="R35" s="72"/>
      <c r="S35" s="72"/>
      <c r="V35" s="30"/>
      <c r="W35" s="30"/>
      <c r="AB35" s="3"/>
      <c r="AC35" s="3"/>
      <c r="AD35" s="3"/>
      <c r="AE35" s="3"/>
      <c r="AF35" s="3"/>
      <c r="AG35" s="22"/>
      <c r="AH35" s="3"/>
      <c r="AI35" s="3"/>
      <c r="AJ35" s="3"/>
      <c r="AK35" s="3"/>
      <c r="AL35" s="3"/>
      <c r="AM35" s="3"/>
      <c r="AN35" s="3"/>
      <c r="AO35" s="3"/>
      <c r="AP35" s="3"/>
      <c r="AQ35" s="3"/>
    </row>
    <row r="36" spans="1:43" s="28" customFormat="1" x14ac:dyDescent="0.3">
      <c r="A36" s="41"/>
      <c r="B36" s="3"/>
      <c r="C36" s="12"/>
      <c r="D36" s="623"/>
      <c r="E36" s="623"/>
      <c r="F36" s="623"/>
      <c r="G36" s="25"/>
      <c r="H36" s="25"/>
      <c r="I36" s="25"/>
      <c r="J36" s="25"/>
      <c r="K36" s="30"/>
      <c r="L36" s="25"/>
      <c r="M36" s="25"/>
      <c r="N36" s="25"/>
      <c r="O36" s="3"/>
      <c r="P36" s="72"/>
      <c r="Q36" s="72"/>
      <c r="R36" s="72"/>
      <c r="S36" s="72"/>
      <c r="V36" s="30"/>
      <c r="W36" s="30"/>
      <c r="AB36" s="3"/>
      <c r="AC36" s="3"/>
      <c r="AD36" s="3"/>
      <c r="AE36" s="3"/>
      <c r="AF36" s="3"/>
      <c r="AG36" s="22"/>
      <c r="AH36" s="3"/>
      <c r="AI36" s="3"/>
      <c r="AJ36" s="3"/>
      <c r="AK36" s="3"/>
      <c r="AL36" s="3"/>
      <c r="AM36" s="3"/>
      <c r="AN36" s="3"/>
      <c r="AO36" s="3"/>
      <c r="AP36" s="3"/>
      <c r="AQ36" s="3"/>
    </row>
    <row r="37" spans="1:43" s="28" customFormat="1" x14ac:dyDescent="0.3">
      <c r="A37" s="41"/>
      <c r="B37" s="3"/>
      <c r="C37" s="12"/>
      <c r="D37" s="623"/>
      <c r="E37" s="623"/>
      <c r="F37" s="623"/>
      <c r="G37" s="25"/>
      <c r="H37" s="25"/>
      <c r="I37" s="25"/>
      <c r="J37" s="25"/>
      <c r="K37" s="30"/>
      <c r="L37" s="25"/>
      <c r="M37" s="25"/>
      <c r="N37" s="25"/>
      <c r="O37" s="3"/>
      <c r="P37" s="72"/>
      <c r="Q37" s="72"/>
      <c r="R37" s="72"/>
      <c r="S37" s="72"/>
      <c r="V37" s="30"/>
      <c r="W37" s="30"/>
      <c r="AB37" s="3"/>
      <c r="AC37" s="3"/>
      <c r="AD37" s="3"/>
      <c r="AE37" s="3"/>
      <c r="AF37" s="3"/>
      <c r="AG37" s="22"/>
      <c r="AH37" s="3"/>
      <c r="AI37" s="3"/>
      <c r="AJ37" s="3"/>
      <c r="AK37" s="3"/>
      <c r="AL37" s="3"/>
      <c r="AM37" s="3"/>
      <c r="AN37" s="3"/>
      <c r="AO37" s="3"/>
      <c r="AP37" s="3"/>
      <c r="AQ37" s="3"/>
    </row>
    <row r="38" spans="1:43" s="28" customFormat="1" x14ac:dyDescent="0.3">
      <c r="A38" s="41"/>
      <c r="B38" s="3"/>
      <c r="C38" s="12"/>
      <c r="D38" s="623"/>
      <c r="E38" s="623"/>
      <c r="F38" s="623"/>
      <c r="G38" s="25"/>
      <c r="H38" s="25"/>
      <c r="I38" s="25"/>
      <c r="J38" s="25"/>
      <c r="K38" s="30"/>
      <c r="L38" s="25"/>
      <c r="M38" s="25"/>
      <c r="N38" s="25"/>
      <c r="O38" s="3"/>
      <c r="P38" s="72"/>
      <c r="Q38" s="72"/>
      <c r="R38" s="72"/>
      <c r="S38" s="72"/>
      <c r="V38" s="30"/>
      <c r="W38" s="30"/>
      <c r="AB38" s="3"/>
      <c r="AC38" s="3"/>
      <c r="AD38" s="3"/>
      <c r="AE38" s="3"/>
      <c r="AF38" s="3"/>
      <c r="AG38" s="22"/>
      <c r="AH38" s="3"/>
      <c r="AI38" s="3"/>
      <c r="AJ38" s="3"/>
      <c r="AK38" s="3"/>
      <c r="AL38" s="3"/>
      <c r="AM38" s="3"/>
      <c r="AN38" s="3"/>
      <c r="AO38" s="3"/>
      <c r="AP38" s="3"/>
      <c r="AQ38" s="3"/>
    </row>
    <row r="39" spans="1:43" s="28" customFormat="1" x14ac:dyDescent="0.3">
      <c r="A39" s="41"/>
      <c r="B39" s="3"/>
      <c r="C39" s="12"/>
      <c r="D39" s="623"/>
      <c r="E39" s="623"/>
      <c r="F39" s="623"/>
      <c r="G39" s="25"/>
      <c r="H39" s="25"/>
      <c r="I39" s="25"/>
      <c r="J39" s="25"/>
      <c r="K39" s="30"/>
      <c r="L39" s="25"/>
      <c r="M39" s="25"/>
      <c r="N39" s="25"/>
      <c r="O39" s="3"/>
      <c r="P39" s="72"/>
      <c r="Q39" s="72"/>
      <c r="R39" s="72"/>
      <c r="S39" s="72"/>
      <c r="V39" s="30"/>
      <c r="W39" s="30"/>
      <c r="AB39" s="3"/>
      <c r="AC39" s="3"/>
      <c r="AD39" s="3"/>
      <c r="AE39" s="3"/>
      <c r="AF39" s="3"/>
      <c r="AG39" s="22"/>
      <c r="AH39" s="3"/>
      <c r="AI39" s="3"/>
      <c r="AJ39" s="3"/>
      <c r="AK39" s="3"/>
      <c r="AL39" s="3"/>
      <c r="AM39" s="3"/>
      <c r="AN39" s="3"/>
      <c r="AO39" s="3"/>
      <c r="AP39" s="3"/>
      <c r="AQ39" s="3"/>
    </row>
    <row r="40" spans="1:43" s="28" customFormat="1" x14ac:dyDescent="0.3">
      <c r="A40" s="41"/>
      <c r="B40" s="3"/>
      <c r="C40" s="12"/>
      <c r="D40" s="623"/>
      <c r="E40" s="623"/>
      <c r="F40" s="623"/>
      <c r="G40" s="25"/>
      <c r="H40" s="25"/>
      <c r="I40" s="25"/>
      <c r="J40" s="25"/>
      <c r="K40" s="30"/>
      <c r="L40" s="25"/>
      <c r="M40" s="25"/>
      <c r="N40" s="25"/>
      <c r="O40" s="3"/>
      <c r="P40" s="72"/>
      <c r="Q40" s="72"/>
      <c r="R40" s="72"/>
      <c r="S40" s="72"/>
      <c r="V40" s="30"/>
      <c r="W40" s="30"/>
      <c r="AB40" s="3"/>
      <c r="AC40" s="3"/>
      <c r="AD40" s="3"/>
      <c r="AE40" s="3"/>
      <c r="AF40" s="3"/>
      <c r="AG40" s="22"/>
      <c r="AH40" s="3"/>
      <c r="AI40" s="3"/>
      <c r="AJ40" s="3"/>
      <c r="AK40" s="3"/>
      <c r="AL40" s="3"/>
      <c r="AM40" s="3"/>
      <c r="AN40" s="3"/>
      <c r="AO40" s="3"/>
      <c r="AP40" s="3"/>
      <c r="AQ40" s="3"/>
    </row>
    <row r="41" spans="1:43" s="28" customFormat="1" x14ac:dyDescent="0.3">
      <c r="A41" s="41"/>
      <c r="B41" s="3"/>
      <c r="C41" s="12"/>
      <c r="D41" s="623"/>
      <c r="E41" s="623"/>
      <c r="F41" s="623"/>
      <c r="G41" s="25"/>
      <c r="H41" s="25"/>
      <c r="I41" s="25"/>
      <c r="J41" s="25"/>
      <c r="K41" s="30"/>
      <c r="L41" s="25"/>
      <c r="M41" s="25"/>
      <c r="N41" s="25"/>
      <c r="O41" s="3"/>
      <c r="P41" s="72"/>
      <c r="Q41" s="72"/>
      <c r="R41" s="72"/>
      <c r="S41" s="72"/>
      <c r="V41" s="30"/>
      <c r="W41" s="30"/>
      <c r="AB41" s="3"/>
      <c r="AC41" s="3"/>
      <c r="AD41" s="3"/>
      <c r="AE41" s="3"/>
      <c r="AF41" s="3"/>
      <c r="AG41" s="22"/>
      <c r="AH41" s="3"/>
      <c r="AI41" s="3"/>
      <c r="AJ41" s="3"/>
      <c r="AK41" s="3"/>
      <c r="AL41" s="3"/>
      <c r="AM41" s="3"/>
      <c r="AN41" s="3"/>
      <c r="AO41" s="3"/>
      <c r="AP41" s="3"/>
      <c r="AQ41" s="3"/>
    </row>
    <row r="42" spans="1:43" s="28" customFormat="1" x14ac:dyDescent="0.3">
      <c r="A42" s="41"/>
      <c r="B42" s="3"/>
      <c r="C42" s="12"/>
      <c r="D42" s="623"/>
      <c r="E42" s="623"/>
      <c r="F42" s="623"/>
      <c r="G42" s="25"/>
      <c r="H42" s="25"/>
      <c r="I42" s="25"/>
      <c r="J42" s="25"/>
      <c r="K42" s="30"/>
      <c r="L42" s="25"/>
      <c r="M42" s="25"/>
      <c r="N42" s="25"/>
      <c r="O42" s="3"/>
      <c r="P42" s="72"/>
      <c r="Q42" s="72"/>
      <c r="R42" s="72"/>
      <c r="S42" s="72"/>
      <c r="V42" s="30"/>
      <c r="W42" s="30"/>
      <c r="AB42" s="3"/>
      <c r="AC42" s="3"/>
      <c r="AD42" s="3"/>
      <c r="AE42" s="3"/>
      <c r="AF42" s="3"/>
      <c r="AG42" s="22"/>
      <c r="AH42" s="3"/>
      <c r="AI42" s="3"/>
      <c r="AJ42" s="3"/>
      <c r="AK42" s="3"/>
      <c r="AL42" s="3"/>
      <c r="AM42" s="3"/>
      <c r="AN42" s="3"/>
      <c r="AO42" s="3"/>
      <c r="AP42" s="3"/>
      <c r="AQ42" s="3"/>
    </row>
    <row r="43" spans="1:43" s="28" customFormat="1" x14ac:dyDescent="0.3">
      <c r="A43" s="41"/>
      <c r="B43" s="3"/>
      <c r="C43" s="12"/>
      <c r="D43" s="623"/>
      <c r="E43" s="623"/>
      <c r="F43" s="623"/>
      <c r="G43" s="25"/>
      <c r="H43" s="25"/>
      <c r="I43" s="25"/>
      <c r="J43" s="25"/>
      <c r="K43" s="30"/>
      <c r="L43" s="25"/>
      <c r="M43" s="25"/>
      <c r="N43" s="25"/>
      <c r="O43" s="3"/>
      <c r="P43" s="72"/>
      <c r="Q43" s="72"/>
      <c r="R43" s="72"/>
      <c r="S43" s="72"/>
      <c r="V43" s="30"/>
      <c r="W43" s="30"/>
      <c r="AB43" s="3"/>
      <c r="AC43" s="3"/>
      <c r="AD43" s="3"/>
      <c r="AE43" s="3"/>
      <c r="AF43" s="3"/>
      <c r="AG43" s="22"/>
      <c r="AH43" s="3"/>
      <c r="AI43" s="3"/>
      <c r="AJ43" s="3"/>
      <c r="AK43" s="3"/>
      <c r="AL43" s="3"/>
      <c r="AM43" s="3"/>
      <c r="AN43" s="3"/>
      <c r="AO43" s="3"/>
      <c r="AP43" s="3"/>
      <c r="AQ43" s="3"/>
    </row>
    <row r="44" spans="1:43" s="28" customFormat="1" x14ac:dyDescent="0.3">
      <c r="A44" s="41"/>
      <c r="B44" s="3"/>
      <c r="C44" s="12"/>
      <c r="D44" s="623"/>
      <c r="E44" s="623"/>
      <c r="F44" s="623"/>
      <c r="G44" s="25"/>
      <c r="H44" s="25"/>
      <c r="I44" s="25"/>
      <c r="J44" s="25"/>
      <c r="K44" s="30"/>
      <c r="L44" s="25"/>
      <c r="M44" s="25"/>
      <c r="N44" s="25"/>
      <c r="O44" s="3"/>
      <c r="P44" s="72"/>
      <c r="Q44" s="72"/>
      <c r="R44" s="72"/>
      <c r="S44" s="72"/>
      <c r="V44" s="30"/>
      <c r="W44" s="30"/>
      <c r="AB44" s="3"/>
      <c r="AC44" s="3"/>
      <c r="AD44" s="3"/>
      <c r="AE44" s="3"/>
      <c r="AF44" s="3"/>
      <c r="AG44" s="22"/>
      <c r="AH44" s="3"/>
      <c r="AI44" s="3"/>
      <c r="AJ44" s="3"/>
      <c r="AK44" s="3"/>
      <c r="AL44" s="3"/>
      <c r="AM44" s="3"/>
      <c r="AN44" s="3"/>
      <c r="AO44" s="3"/>
      <c r="AP44" s="3"/>
      <c r="AQ44" s="3"/>
    </row>
    <row r="45" spans="1:43" s="28" customFormat="1" x14ac:dyDescent="0.3">
      <c r="A45" s="41"/>
      <c r="B45" s="3"/>
      <c r="C45" s="12"/>
      <c r="D45" s="623"/>
      <c r="E45" s="623"/>
      <c r="F45" s="623"/>
      <c r="G45" s="25"/>
      <c r="H45" s="25"/>
      <c r="I45" s="25"/>
      <c r="J45" s="25"/>
      <c r="K45" s="30"/>
      <c r="L45" s="25"/>
      <c r="M45" s="25"/>
      <c r="N45" s="25"/>
      <c r="O45" s="3"/>
      <c r="P45" s="72"/>
      <c r="Q45" s="72"/>
      <c r="R45" s="72"/>
      <c r="S45" s="72"/>
      <c r="V45" s="30"/>
      <c r="W45" s="30"/>
      <c r="AB45" s="3"/>
      <c r="AC45" s="3"/>
      <c r="AD45" s="3"/>
      <c r="AE45" s="3"/>
      <c r="AF45" s="3"/>
      <c r="AG45" s="22"/>
      <c r="AH45" s="3"/>
      <c r="AI45" s="3"/>
      <c r="AJ45" s="3"/>
      <c r="AK45" s="3"/>
      <c r="AL45" s="3"/>
      <c r="AM45" s="3"/>
      <c r="AN45" s="3"/>
      <c r="AO45" s="3"/>
      <c r="AP45" s="3"/>
      <c r="AQ45" s="3"/>
    </row>
    <row r="46" spans="1:43" s="28" customFormat="1" x14ac:dyDescent="0.3">
      <c r="A46" s="41"/>
      <c r="B46" s="3"/>
      <c r="C46" s="12"/>
      <c r="D46" s="623"/>
      <c r="E46" s="623"/>
      <c r="F46" s="623"/>
      <c r="G46" s="25"/>
      <c r="H46" s="25"/>
      <c r="I46" s="25"/>
      <c r="J46" s="25"/>
      <c r="K46" s="30"/>
      <c r="L46" s="25"/>
      <c r="M46" s="25"/>
      <c r="N46" s="25"/>
      <c r="O46" s="3"/>
      <c r="P46" s="72"/>
      <c r="Q46" s="72"/>
      <c r="R46" s="72"/>
      <c r="S46" s="72"/>
      <c r="V46" s="30"/>
      <c r="W46" s="30"/>
      <c r="AB46" s="3"/>
      <c r="AC46" s="3"/>
      <c r="AD46" s="3"/>
      <c r="AE46" s="3"/>
      <c r="AF46" s="3"/>
      <c r="AG46" s="22"/>
      <c r="AH46" s="3"/>
      <c r="AI46" s="3"/>
      <c r="AJ46" s="3"/>
      <c r="AK46" s="3"/>
      <c r="AL46" s="3"/>
      <c r="AM46" s="3"/>
      <c r="AN46" s="3"/>
      <c r="AO46" s="3"/>
      <c r="AP46" s="3"/>
      <c r="AQ46" s="3"/>
    </row>
    <row r="47" spans="1:43" s="28" customFormat="1" x14ac:dyDescent="0.3">
      <c r="A47" s="41"/>
      <c r="B47" s="3"/>
      <c r="C47" s="12"/>
      <c r="D47" s="623"/>
      <c r="E47" s="623"/>
      <c r="F47" s="623"/>
      <c r="G47" s="25"/>
      <c r="H47" s="25"/>
      <c r="I47" s="25"/>
      <c r="J47" s="25"/>
      <c r="K47" s="30"/>
      <c r="L47" s="25"/>
      <c r="M47" s="25"/>
      <c r="N47" s="25"/>
      <c r="O47" s="3"/>
      <c r="P47" s="72"/>
      <c r="Q47" s="72"/>
      <c r="R47" s="72"/>
      <c r="S47" s="72"/>
      <c r="V47" s="30"/>
      <c r="W47" s="30"/>
      <c r="AB47" s="3"/>
      <c r="AC47" s="3"/>
      <c r="AD47" s="3"/>
      <c r="AE47" s="3"/>
      <c r="AF47" s="3"/>
      <c r="AG47" s="22"/>
      <c r="AH47" s="3"/>
      <c r="AI47" s="3"/>
      <c r="AJ47" s="3"/>
      <c r="AK47" s="3"/>
      <c r="AL47" s="3"/>
      <c r="AM47" s="3"/>
      <c r="AN47" s="3"/>
      <c r="AO47" s="3"/>
      <c r="AP47" s="3"/>
      <c r="AQ47" s="3"/>
    </row>
    <row r="48" spans="1:43" s="28" customFormat="1" x14ac:dyDescent="0.3">
      <c r="A48" s="41"/>
      <c r="B48" s="3"/>
      <c r="C48" s="12"/>
      <c r="D48" s="623"/>
      <c r="E48" s="623"/>
      <c r="F48" s="623"/>
      <c r="G48" s="25"/>
      <c r="H48" s="25"/>
      <c r="I48" s="25"/>
      <c r="J48" s="25"/>
      <c r="K48" s="30"/>
      <c r="L48" s="25"/>
      <c r="M48" s="25"/>
      <c r="N48" s="25"/>
      <c r="O48" s="3"/>
      <c r="P48" s="72"/>
      <c r="Q48" s="72"/>
      <c r="R48" s="72"/>
      <c r="S48" s="72"/>
      <c r="V48" s="30"/>
      <c r="W48" s="30"/>
      <c r="AB48" s="3"/>
      <c r="AC48" s="3"/>
      <c r="AD48" s="3"/>
      <c r="AE48" s="3"/>
      <c r="AF48" s="3"/>
      <c r="AG48" s="22"/>
      <c r="AH48" s="3"/>
      <c r="AI48" s="3"/>
      <c r="AJ48" s="3"/>
      <c r="AK48" s="3"/>
      <c r="AL48" s="3"/>
      <c r="AM48" s="3"/>
      <c r="AN48" s="3"/>
      <c r="AO48" s="3"/>
      <c r="AP48" s="3"/>
      <c r="AQ48" s="3"/>
    </row>
    <row r="49" spans="1:43" s="28" customFormat="1" x14ac:dyDescent="0.3">
      <c r="A49" s="41"/>
      <c r="B49" s="3"/>
      <c r="C49" s="12"/>
      <c r="D49" s="623"/>
      <c r="E49" s="623"/>
      <c r="F49" s="623"/>
      <c r="G49" s="25"/>
      <c r="H49" s="25"/>
      <c r="I49" s="25"/>
      <c r="J49" s="25"/>
      <c r="K49" s="30"/>
      <c r="L49" s="25"/>
      <c r="M49" s="25"/>
      <c r="N49" s="25"/>
      <c r="O49" s="3"/>
      <c r="P49" s="72"/>
      <c r="Q49" s="72"/>
      <c r="R49" s="72"/>
      <c r="S49" s="72"/>
      <c r="V49" s="30"/>
      <c r="W49" s="30"/>
      <c r="AB49" s="3"/>
      <c r="AC49" s="3"/>
      <c r="AD49" s="3"/>
      <c r="AE49" s="3"/>
      <c r="AF49" s="3"/>
      <c r="AG49" s="22"/>
      <c r="AH49" s="3"/>
      <c r="AI49" s="3"/>
      <c r="AJ49" s="3"/>
      <c r="AK49" s="3"/>
      <c r="AL49" s="3"/>
      <c r="AM49" s="3"/>
      <c r="AN49" s="3"/>
      <c r="AO49" s="3"/>
      <c r="AP49" s="3"/>
      <c r="AQ49" s="3"/>
    </row>
    <row r="50" spans="1:43" s="28" customFormat="1" x14ac:dyDescent="0.3">
      <c r="A50" s="41"/>
      <c r="B50" s="3"/>
      <c r="C50" s="12"/>
      <c r="D50" s="623"/>
      <c r="E50" s="623"/>
      <c r="F50" s="623"/>
      <c r="G50" s="25"/>
      <c r="H50" s="25"/>
      <c r="I50" s="25"/>
      <c r="J50" s="25"/>
      <c r="K50" s="30"/>
      <c r="L50" s="25"/>
      <c r="M50" s="25"/>
      <c r="N50" s="25"/>
      <c r="O50" s="3"/>
      <c r="P50" s="72"/>
      <c r="Q50" s="72"/>
      <c r="R50" s="72"/>
      <c r="S50" s="72"/>
      <c r="V50" s="30"/>
      <c r="W50" s="30"/>
      <c r="AB50" s="3"/>
      <c r="AC50" s="3"/>
      <c r="AD50" s="3"/>
      <c r="AE50" s="3"/>
      <c r="AF50" s="3"/>
      <c r="AG50" s="22"/>
      <c r="AH50" s="3"/>
      <c r="AI50" s="3"/>
      <c r="AJ50" s="3"/>
      <c r="AK50" s="3"/>
      <c r="AL50" s="3"/>
      <c r="AM50" s="3"/>
      <c r="AN50" s="3"/>
      <c r="AO50" s="3"/>
      <c r="AP50" s="3"/>
      <c r="AQ50" s="3"/>
    </row>
    <row r="51" spans="1:43" s="28" customFormat="1" x14ac:dyDescent="0.3">
      <c r="A51" s="41"/>
      <c r="B51" s="3"/>
      <c r="C51" s="12"/>
      <c r="D51" s="623"/>
      <c r="E51" s="623"/>
      <c r="F51" s="623"/>
      <c r="G51" s="25"/>
      <c r="H51" s="25"/>
      <c r="I51" s="25"/>
      <c r="J51" s="25"/>
      <c r="K51" s="30"/>
      <c r="L51" s="25"/>
      <c r="M51" s="25"/>
      <c r="N51" s="25"/>
      <c r="O51" s="3"/>
      <c r="P51" s="72"/>
      <c r="Q51" s="72"/>
      <c r="R51" s="72"/>
      <c r="S51" s="72"/>
      <c r="V51" s="30"/>
      <c r="W51" s="30"/>
      <c r="AB51" s="3"/>
      <c r="AC51" s="3"/>
      <c r="AD51" s="3"/>
      <c r="AE51" s="3"/>
      <c r="AF51" s="3"/>
      <c r="AG51" s="22"/>
      <c r="AH51" s="3"/>
      <c r="AI51" s="3"/>
      <c r="AJ51" s="3"/>
      <c r="AK51" s="3"/>
      <c r="AL51" s="3"/>
      <c r="AM51" s="3"/>
      <c r="AN51" s="3"/>
      <c r="AO51" s="3"/>
      <c r="AP51" s="3"/>
      <c r="AQ51" s="3"/>
    </row>
    <row r="52" spans="1:43" s="28" customFormat="1" x14ac:dyDescent="0.3">
      <c r="A52" s="41"/>
      <c r="B52" s="3"/>
      <c r="C52" s="12"/>
      <c r="D52" s="623"/>
      <c r="E52" s="623"/>
      <c r="F52" s="623"/>
      <c r="G52" s="25"/>
      <c r="H52" s="25"/>
      <c r="I52" s="25"/>
      <c r="J52" s="25"/>
      <c r="K52" s="30"/>
      <c r="L52" s="25"/>
      <c r="M52" s="25"/>
      <c r="N52" s="25"/>
      <c r="O52" s="3"/>
      <c r="P52" s="72"/>
      <c r="Q52" s="72"/>
      <c r="R52" s="72"/>
      <c r="S52" s="72"/>
      <c r="V52" s="30"/>
      <c r="W52" s="30"/>
      <c r="AB52" s="3"/>
      <c r="AC52" s="3"/>
      <c r="AD52" s="3"/>
      <c r="AE52" s="3"/>
      <c r="AF52" s="3"/>
      <c r="AG52" s="22"/>
      <c r="AH52" s="3"/>
      <c r="AI52" s="3"/>
      <c r="AJ52" s="3"/>
      <c r="AK52" s="3"/>
      <c r="AL52" s="3"/>
      <c r="AM52" s="3"/>
      <c r="AN52" s="3"/>
      <c r="AO52" s="3"/>
      <c r="AP52" s="3"/>
      <c r="AQ52" s="3"/>
    </row>
    <row r="53" spans="1:43" s="28" customFormat="1" x14ac:dyDescent="0.3">
      <c r="A53" s="41"/>
      <c r="B53" s="3"/>
      <c r="C53" s="12"/>
      <c r="D53" s="623"/>
      <c r="E53" s="623"/>
      <c r="F53" s="623"/>
      <c r="G53" s="25"/>
      <c r="H53" s="25"/>
      <c r="I53" s="25"/>
      <c r="J53" s="25"/>
      <c r="K53" s="30"/>
      <c r="L53" s="25"/>
      <c r="M53" s="25"/>
      <c r="N53" s="25"/>
      <c r="O53" s="3"/>
      <c r="P53" s="72"/>
      <c r="Q53" s="72"/>
      <c r="R53" s="72"/>
      <c r="S53" s="72"/>
      <c r="V53" s="30"/>
      <c r="W53" s="30"/>
      <c r="AB53" s="3"/>
      <c r="AC53" s="3"/>
      <c r="AD53" s="3"/>
      <c r="AE53" s="3"/>
      <c r="AF53" s="3"/>
      <c r="AG53" s="22"/>
      <c r="AH53" s="3"/>
      <c r="AI53" s="3"/>
      <c r="AJ53" s="3"/>
      <c r="AK53" s="3"/>
      <c r="AL53" s="3"/>
      <c r="AM53" s="3"/>
      <c r="AN53" s="3"/>
      <c r="AO53" s="3"/>
      <c r="AP53" s="3"/>
      <c r="AQ53" s="3"/>
    </row>
    <row r="54" spans="1:43" s="28" customFormat="1" x14ac:dyDescent="0.3">
      <c r="A54" s="41"/>
      <c r="B54" s="3"/>
      <c r="C54" s="12"/>
      <c r="D54" s="623"/>
      <c r="E54" s="623"/>
      <c r="F54" s="623"/>
      <c r="G54" s="25"/>
      <c r="H54" s="25"/>
      <c r="I54" s="25"/>
      <c r="J54" s="25"/>
      <c r="K54" s="30"/>
      <c r="L54" s="25"/>
      <c r="M54" s="25"/>
      <c r="N54" s="25"/>
      <c r="O54" s="3"/>
      <c r="P54" s="72"/>
      <c r="Q54" s="72"/>
      <c r="R54" s="72"/>
      <c r="S54" s="72"/>
      <c r="V54" s="30"/>
      <c r="W54" s="30"/>
      <c r="AB54" s="3"/>
      <c r="AC54" s="3"/>
      <c r="AD54" s="3"/>
      <c r="AE54" s="3"/>
      <c r="AF54" s="3"/>
      <c r="AG54" s="22"/>
      <c r="AH54" s="3"/>
      <c r="AI54" s="3"/>
      <c r="AJ54" s="3"/>
      <c r="AK54" s="3"/>
      <c r="AL54" s="3"/>
      <c r="AM54" s="3"/>
      <c r="AN54" s="3"/>
      <c r="AO54" s="3"/>
      <c r="AP54" s="3"/>
      <c r="AQ54" s="3"/>
    </row>
    <row r="55" spans="1:43" s="28" customFormat="1" x14ac:dyDescent="0.3">
      <c r="A55" s="41"/>
      <c r="B55" s="3"/>
      <c r="C55" s="12"/>
      <c r="D55" s="623"/>
      <c r="E55" s="623"/>
      <c r="F55" s="623"/>
      <c r="G55" s="25"/>
      <c r="H55" s="25"/>
      <c r="I55" s="25"/>
      <c r="J55" s="25"/>
      <c r="K55" s="30"/>
      <c r="L55" s="25"/>
      <c r="M55" s="25"/>
      <c r="N55" s="25"/>
      <c r="O55" s="3"/>
      <c r="P55" s="72"/>
      <c r="Q55" s="72"/>
      <c r="R55" s="72"/>
      <c r="S55" s="72"/>
      <c r="V55" s="30"/>
      <c r="W55" s="30"/>
      <c r="AB55" s="3"/>
      <c r="AC55" s="3"/>
      <c r="AD55" s="3"/>
      <c r="AE55" s="3"/>
      <c r="AF55" s="3"/>
      <c r="AG55" s="22"/>
      <c r="AH55" s="3"/>
      <c r="AI55" s="3"/>
      <c r="AJ55" s="3"/>
      <c r="AK55" s="3"/>
      <c r="AL55" s="3"/>
      <c r="AM55" s="3"/>
      <c r="AN55" s="3"/>
      <c r="AO55" s="3"/>
      <c r="AP55" s="3"/>
      <c r="AQ55" s="3"/>
    </row>
    <row r="56" spans="1:43" s="28" customFormat="1" x14ac:dyDescent="0.3">
      <c r="A56" s="41"/>
      <c r="B56" s="3"/>
      <c r="C56" s="12"/>
      <c r="D56" s="623"/>
      <c r="E56" s="623"/>
      <c r="F56" s="623"/>
      <c r="G56" s="25"/>
      <c r="H56" s="25"/>
      <c r="I56" s="25"/>
      <c r="J56" s="25"/>
      <c r="K56" s="30"/>
      <c r="L56" s="25"/>
      <c r="M56" s="25"/>
      <c r="N56" s="25"/>
      <c r="O56" s="3"/>
      <c r="P56" s="72"/>
      <c r="Q56" s="72"/>
      <c r="R56" s="72"/>
      <c r="S56" s="72"/>
      <c r="V56" s="30"/>
      <c r="W56" s="30"/>
      <c r="AB56" s="3"/>
      <c r="AC56" s="3"/>
      <c r="AD56" s="3"/>
      <c r="AE56" s="3"/>
      <c r="AF56" s="3"/>
      <c r="AG56" s="22"/>
      <c r="AH56" s="3"/>
      <c r="AI56" s="3"/>
      <c r="AJ56" s="3"/>
      <c r="AK56" s="3"/>
      <c r="AL56" s="3"/>
      <c r="AM56" s="3"/>
      <c r="AN56" s="3"/>
      <c r="AO56" s="3"/>
      <c r="AP56" s="3"/>
      <c r="AQ56" s="3"/>
    </row>
    <row r="57" spans="1:43" s="28" customFormat="1" x14ac:dyDescent="0.3">
      <c r="A57" s="41"/>
      <c r="B57" s="3"/>
      <c r="C57" s="12"/>
      <c r="D57" s="623"/>
      <c r="E57" s="623"/>
      <c r="F57" s="623"/>
      <c r="G57" s="25"/>
      <c r="H57" s="25"/>
      <c r="I57" s="25"/>
      <c r="J57" s="25"/>
      <c r="K57" s="30"/>
      <c r="L57" s="25"/>
      <c r="M57" s="25"/>
      <c r="N57" s="25"/>
      <c r="O57" s="3"/>
      <c r="P57" s="72"/>
      <c r="Q57" s="72"/>
      <c r="R57" s="72"/>
      <c r="S57" s="72"/>
      <c r="V57" s="30"/>
      <c r="W57" s="30"/>
      <c r="AB57" s="3"/>
      <c r="AC57" s="3"/>
      <c r="AD57" s="3"/>
      <c r="AE57" s="3"/>
      <c r="AF57" s="3"/>
      <c r="AG57" s="22"/>
      <c r="AH57" s="3"/>
      <c r="AI57" s="3"/>
      <c r="AJ57" s="3"/>
      <c r="AK57" s="3"/>
      <c r="AL57" s="3"/>
      <c r="AM57" s="3"/>
      <c r="AN57" s="3"/>
      <c r="AO57" s="3"/>
      <c r="AP57" s="3"/>
      <c r="AQ57" s="3"/>
    </row>
    <row r="58" spans="1:43" s="28" customFormat="1" x14ac:dyDescent="0.3">
      <c r="A58" s="41"/>
      <c r="B58" s="3"/>
      <c r="C58" s="12"/>
      <c r="D58" s="623"/>
      <c r="E58" s="623"/>
      <c r="F58" s="623"/>
      <c r="G58" s="25"/>
      <c r="H58" s="25"/>
      <c r="I58" s="25"/>
      <c r="J58" s="25"/>
      <c r="K58" s="30"/>
      <c r="L58" s="25"/>
      <c r="M58" s="25"/>
      <c r="N58" s="25"/>
      <c r="O58" s="3"/>
      <c r="P58" s="72"/>
      <c r="Q58" s="72"/>
      <c r="R58" s="72"/>
      <c r="S58" s="72"/>
      <c r="V58" s="30"/>
      <c r="W58" s="30"/>
      <c r="AB58" s="3"/>
      <c r="AC58" s="3"/>
      <c r="AD58" s="3"/>
      <c r="AE58" s="3"/>
      <c r="AF58" s="3"/>
      <c r="AG58" s="22"/>
      <c r="AH58" s="3"/>
      <c r="AI58" s="3"/>
      <c r="AJ58" s="3"/>
      <c r="AK58" s="3"/>
      <c r="AL58" s="3"/>
      <c r="AM58" s="3"/>
      <c r="AN58" s="3"/>
      <c r="AO58" s="3"/>
      <c r="AP58" s="3"/>
      <c r="AQ58" s="3"/>
    </row>
    <row r="59" spans="1:43" s="28" customFormat="1" x14ac:dyDescent="0.3">
      <c r="A59" s="41"/>
      <c r="B59" s="3"/>
      <c r="C59" s="12"/>
      <c r="D59" s="623"/>
      <c r="E59" s="623"/>
      <c r="F59" s="623"/>
      <c r="G59" s="25"/>
      <c r="H59" s="25"/>
      <c r="I59" s="25"/>
      <c r="J59" s="25"/>
      <c r="K59" s="30"/>
      <c r="L59" s="25"/>
      <c r="M59" s="25"/>
      <c r="N59" s="25"/>
      <c r="O59" s="3"/>
      <c r="P59" s="72"/>
      <c r="Q59" s="72"/>
      <c r="R59" s="72"/>
      <c r="S59" s="72"/>
      <c r="V59" s="30"/>
      <c r="W59" s="30"/>
      <c r="AB59" s="3"/>
      <c r="AC59" s="3"/>
      <c r="AD59" s="3"/>
      <c r="AE59" s="3"/>
      <c r="AF59" s="3"/>
      <c r="AG59" s="22"/>
      <c r="AH59" s="3"/>
      <c r="AI59" s="3"/>
      <c r="AJ59" s="3"/>
      <c r="AK59" s="3"/>
      <c r="AL59" s="3"/>
      <c r="AM59" s="3"/>
      <c r="AN59" s="3"/>
      <c r="AO59" s="3"/>
      <c r="AP59" s="3"/>
      <c r="AQ59" s="3"/>
    </row>
    <row r="60" spans="1:43" s="28" customFormat="1" x14ac:dyDescent="0.3">
      <c r="A60" s="41"/>
      <c r="B60" s="3"/>
      <c r="C60" s="12"/>
      <c r="D60" s="623"/>
      <c r="E60" s="623"/>
      <c r="F60" s="623"/>
      <c r="G60" s="25"/>
      <c r="H60" s="25"/>
      <c r="I60" s="25"/>
      <c r="J60" s="25"/>
      <c r="K60" s="30"/>
      <c r="L60" s="25"/>
      <c r="M60" s="25"/>
      <c r="N60" s="25"/>
      <c r="O60" s="3"/>
      <c r="P60" s="72"/>
      <c r="Q60" s="72"/>
      <c r="R60" s="72"/>
      <c r="S60" s="72"/>
      <c r="V60" s="30"/>
      <c r="W60" s="30"/>
      <c r="AB60" s="3"/>
      <c r="AC60" s="3"/>
      <c r="AD60" s="3"/>
      <c r="AE60" s="3"/>
      <c r="AF60" s="3"/>
      <c r="AG60" s="22"/>
      <c r="AH60" s="3"/>
      <c r="AI60" s="3"/>
      <c r="AJ60" s="3"/>
      <c r="AK60" s="3"/>
      <c r="AL60" s="3"/>
      <c r="AM60" s="3"/>
      <c r="AN60" s="3"/>
      <c r="AO60" s="3"/>
      <c r="AP60" s="3"/>
      <c r="AQ60" s="3"/>
    </row>
    <row r="61" spans="1:43" s="28" customFormat="1" x14ac:dyDescent="0.3">
      <c r="A61" s="41"/>
      <c r="B61" s="3"/>
      <c r="C61" s="12"/>
      <c r="D61" s="623"/>
      <c r="E61" s="623"/>
      <c r="F61" s="623"/>
      <c r="G61" s="25"/>
      <c r="H61" s="25"/>
      <c r="I61" s="25"/>
      <c r="J61" s="25"/>
      <c r="K61" s="30"/>
      <c r="L61" s="25"/>
      <c r="M61" s="25"/>
      <c r="N61" s="25"/>
      <c r="O61" s="3"/>
      <c r="P61" s="72"/>
      <c r="Q61" s="72"/>
      <c r="R61" s="72"/>
      <c r="S61" s="72"/>
      <c r="V61" s="30"/>
      <c r="W61" s="30"/>
      <c r="AB61" s="3"/>
      <c r="AC61" s="3"/>
      <c r="AD61" s="3"/>
      <c r="AE61" s="3"/>
      <c r="AF61" s="3"/>
      <c r="AG61" s="22"/>
      <c r="AH61" s="3"/>
      <c r="AI61" s="3"/>
      <c r="AJ61" s="3"/>
      <c r="AK61" s="3"/>
      <c r="AL61" s="3"/>
      <c r="AM61" s="3"/>
      <c r="AN61" s="3"/>
      <c r="AO61" s="3"/>
      <c r="AP61" s="3"/>
      <c r="AQ61" s="3"/>
    </row>
    <row r="62" spans="1:43" s="28" customFormat="1" x14ac:dyDescent="0.3">
      <c r="A62" s="41"/>
      <c r="B62" s="3"/>
      <c r="C62" s="12"/>
      <c r="D62" s="623"/>
      <c r="E62" s="623"/>
      <c r="F62" s="623"/>
      <c r="G62" s="25"/>
      <c r="H62" s="25"/>
      <c r="I62" s="25"/>
      <c r="J62" s="25"/>
      <c r="K62" s="30"/>
      <c r="L62" s="25"/>
      <c r="M62" s="25"/>
      <c r="N62" s="25"/>
      <c r="O62" s="3"/>
      <c r="P62" s="72"/>
      <c r="Q62" s="72"/>
      <c r="R62" s="72"/>
      <c r="S62" s="72"/>
      <c r="V62" s="30"/>
      <c r="W62" s="30"/>
      <c r="AB62" s="3"/>
      <c r="AC62" s="3"/>
      <c r="AD62" s="3"/>
      <c r="AE62" s="3"/>
      <c r="AF62" s="3"/>
      <c r="AG62" s="22"/>
      <c r="AH62" s="3"/>
      <c r="AI62" s="3"/>
      <c r="AJ62" s="3"/>
      <c r="AK62" s="3"/>
      <c r="AL62" s="3"/>
      <c r="AM62" s="3"/>
      <c r="AN62" s="3"/>
      <c r="AO62" s="3"/>
      <c r="AP62" s="3"/>
      <c r="AQ62" s="3"/>
    </row>
    <row r="63" spans="1:43" s="28" customFormat="1" x14ac:dyDescent="0.3">
      <c r="A63" s="41"/>
      <c r="B63" s="3"/>
      <c r="C63" s="12"/>
      <c r="D63" s="623"/>
      <c r="E63" s="623"/>
      <c r="F63" s="623"/>
      <c r="G63" s="25"/>
      <c r="H63" s="25"/>
      <c r="I63" s="25"/>
      <c r="J63" s="25"/>
      <c r="K63" s="30"/>
      <c r="L63" s="25"/>
      <c r="M63" s="25"/>
      <c r="N63" s="25"/>
      <c r="O63" s="3"/>
      <c r="P63" s="72"/>
      <c r="Q63" s="72"/>
      <c r="R63" s="72"/>
      <c r="S63" s="72"/>
      <c r="V63" s="30"/>
      <c r="W63" s="30"/>
      <c r="AB63" s="3"/>
      <c r="AC63" s="3"/>
      <c r="AD63" s="3"/>
      <c r="AE63" s="3"/>
      <c r="AF63" s="3"/>
      <c r="AG63" s="22"/>
      <c r="AH63" s="3"/>
      <c r="AI63" s="3"/>
      <c r="AJ63" s="3"/>
      <c r="AK63" s="3"/>
      <c r="AL63" s="3"/>
      <c r="AM63" s="3"/>
      <c r="AN63" s="3"/>
      <c r="AO63" s="3"/>
      <c r="AP63" s="3"/>
      <c r="AQ63" s="3"/>
    </row>
    <row r="64" spans="1:43" s="28" customFormat="1" x14ac:dyDescent="0.3">
      <c r="A64" s="41"/>
      <c r="B64" s="3"/>
      <c r="C64" s="12"/>
      <c r="D64" s="623"/>
      <c r="E64" s="623"/>
      <c r="F64" s="623"/>
      <c r="G64" s="25"/>
      <c r="H64" s="25"/>
      <c r="I64" s="25"/>
      <c r="J64" s="25"/>
      <c r="K64" s="30"/>
      <c r="L64" s="25"/>
      <c r="M64" s="25"/>
      <c r="N64" s="25"/>
      <c r="O64" s="3"/>
      <c r="P64" s="72"/>
      <c r="Q64" s="72"/>
      <c r="R64" s="72"/>
      <c r="S64" s="72"/>
      <c r="V64" s="30"/>
      <c r="W64" s="30"/>
      <c r="AB64" s="3"/>
      <c r="AC64" s="3"/>
      <c r="AD64" s="3"/>
      <c r="AE64" s="3"/>
      <c r="AF64" s="3"/>
      <c r="AG64" s="22"/>
      <c r="AH64" s="3"/>
      <c r="AI64" s="3"/>
      <c r="AJ64" s="3"/>
      <c r="AK64" s="3"/>
      <c r="AL64" s="3"/>
      <c r="AM64" s="3"/>
      <c r="AN64" s="3"/>
      <c r="AO64" s="3"/>
      <c r="AP64" s="3"/>
      <c r="AQ64" s="3"/>
    </row>
    <row r="65" spans="1:43" s="28" customFormat="1" x14ac:dyDescent="0.3">
      <c r="A65" s="41"/>
      <c r="B65" s="3"/>
      <c r="C65" s="12"/>
      <c r="D65" s="623"/>
      <c r="E65" s="623"/>
      <c r="F65" s="623"/>
      <c r="G65" s="25"/>
      <c r="H65" s="25"/>
      <c r="I65" s="25"/>
      <c r="J65" s="25"/>
      <c r="K65" s="30"/>
      <c r="L65" s="25"/>
      <c r="M65" s="25"/>
      <c r="N65" s="25"/>
      <c r="O65" s="3"/>
      <c r="P65" s="72"/>
      <c r="Q65" s="72"/>
      <c r="R65" s="72"/>
      <c r="S65" s="72"/>
      <c r="V65" s="30"/>
      <c r="W65" s="30"/>
      <c r="AB65" s="3"/>
      <c r="AC65" s="3"/>
      <c r="AD65" s="3"/>
      <c r="AE65" s="3"/>
      <c r="AF65" s="3"/>
      <c r="AG65" s="22"/>
      <c r="AH65" s="3"/>
      <c r="AI65" s="3"/>
      <c r="AJ65" s="3"/>
      <c r="AK65" s="3"/>
      <c r="AL65" s="3"/>
      <c r="AM65" s="3"/>
      <c r="AN65" s="3"/>
      <c r="AO65" s="3"/>
      <c r="AP65" s="3"/>
      <c r="AQ65" s="3"/>
    </row>
    <row r="66" spans="1:43" s="28" customFormat="1" x14ac:dyDescent="0.3">
      <c r="A66" s="41"/>
      <c r="B66" s="3"/>
      <c r="C66" s="12"/>
      <c r="D66" s="623"/>
      <c r="E66" s="623"/>
      <c r="F66" s="623"/>
      <c r="G66" s="25"/>
      <c r="H66" s="25"/>
      <c r="I66" s="25"/>
      <c r="J66" s="25"/>
      <c r="K66" s="30"/>
      <c r="L66" s="25"/>
      <c r="M66" s="25"/>
      <c r="N66" s="25"/>
      <c r="O66" s="3"/>
      <c r="P66" s="72"/>
      <c r="Q66" s="72"/>
      <c r="R66" s="72"/>
      <c r="S66" s="72"/>
      <c r="V66" s="30"/>
      <c r="W66" s="30"/>
      <c r="AB66" s="3"/>
      <c r="AC66" s="3"/>
      <c r="AD66" s="3"/>
      <c r="AE66" s="3"/>
      <c r="AF66" s="3"/>
      <c r="AG66" s="22"/>
      <c r="AH66" s="3"/>
      <c r="AI66" s="3"/>
      <c r="AJ66" s="3"/>
      <c r="AK66" s="3"/>
      <c r="AL66" s="3"/>
      <c r="AM66" s="3"/>
      <c r="AN66" s="3"/>
      <c r="AO66" s="3"/>
      <c r="AP66" s="3"/>
      <c r="AQ66" s="3"/>
    </row>
    <row r="67" spans="1:43" s="28" customFormat="1" x14ac:dyDescent="0.3">
      <c r="A67" s="41"/>
      <c r="B67" s="3"/>
      <c r="C67" s="12"/>
      <c r="D67" s="623"/>
      <c r="E67" s="623"/>
      <c r="F67" s="623"/>
      <c r="G67" s="25"/>
      <c r="H67" s="25"/>
      <c r="I67" s="25"/>
      <c r="J67" s="25"/>
      <c r="K67" s="30"/>
      <c r="L67" s="25"/>
      <c r="M67" s="25"/>
      <c r="N67" s="25"/>
      <c r="O67" s="3"/>
      <c r="P67" s="72"/>
      <c r="Q67" s="72"/>
      <c r="R67" s="72"/>
      <c r="S67" s="72"/>
      <c r="V67" s="30"/>
      <c r="W67" s="30"/>
      <c r="AB67" s="3"/>
      <c r="AC67" s="3"/>
      <c r="AD67" s="3"/>
      <c r="AE67" s="3"/>
      <c r="AF67" s="3"/>
      <c r="AG67" s="22"/>
      <c r="AH67" s="3"/>
      <c r="AI67" s="3"/>
      <c r="AJ67" s="3"/>
      <c r="AK67" s="3"/>
      <c r="AL67" s="3"/>
      <c r="AM67" s="3"/>
      <c r="AN67" s="3"/>
      <c r="AO67" s="3"/>
      <c r="AP67" s="3"/>
      <c r="AQ67" s="3"/>
    </row>
    <row r="68" spans="1:43" s="28" customFormat="1" x14ac:dyDescent="0.3">
      <c r="A68" s="41"/>
      <c r="B68" s="3"/>
      <c r="C68" s="12"/>
      <c r="D68" s="623"/>
      <c r="E68" s="623"/>
      <c r="F68" s="623"/>
      <c r="G68" s="25"/>
      <c r="H68" s="25"/>
      <c r="I68" s="25"/>
      <c r="J68" s="25"/>
      <c r="K68" s="30"/>
      <c r="L68" s="25"/>
      <c r="M68" s="25"/>
      <c r="N68" s="25"/>
      <c r="O68" s="3"/>
      <c r="P68" s="72"/>
      <c r="Q68" s="72"/>
      <c r="R68" s="72"/>
      <c r="S68" s="72"/>
      <c r="V68" s="30"/>
      <c r="W68" s="30"/>
      <c r="AB68" s="3"/>
      <c r="AC68" s="3"/>
      <c r="AD68" s="3"/>
      <c r="AE68" s="3"/>
      <c r="AF68" s="3"/>
      <c r="AG68" s="22"/>
      <c r="AH68" s="3"/>
      <c r="AI68" s="3"/>
      <c r="AJ68" s="3"/>
      <c r="AK68" s="3"/>
      <c r="AL68" s="3"/>
      <c r="AM68" s="3"/>
      <c r="AN68" s="3"/>
      <c r="AO68" s="3"/>
      <c r="AP68" s="3"/>
      <c r="AQ68" s="3"/>
    </row>
    <row r="69" spans="1:43" s="28" customFormat="1" x14ac:dyDescent="0.3">
      <c r="A69" s="41"/>
      <c r="B69" s="3"/>
      <c r="C69" s="12"/>
      <c r="D69" s="623"/>
      <c r="E69" s="623"/>
      <c r="F69" s="623"/>
      <c r="G69" s="25"/>
      <c r="H69" s="25"/>
      <c r="I69" s="25"/>
      <c r="J69" s="25"/>
      <c r="K69" s="30"/>
      <c r="L69" s="25"/>
      <c r="M69" s="25"/>
      <c r="N69" s="25"/>
      <c r="O69" s="3"/>
      <c r="P69" s="72"/>
      <c r="Q69" s="72"/>
      <c r="R69" s="72"/>
      <c r="S69" s="72"/>
      <c r="V69" s="30"/>
      <c r="W69" s="30"/>
      <c r="AB69" s="3"/>
      <c r="AC69" s="3"/>
      <c r="AD69" s="3"/>
      <c r="AE69" s="3"/>
      <c r="AF69" s="3"/>
      <c r="AG69" s="22"/>
      <c r="AH69" s="3"/>
      <c r="AI69" s="3"/>
      <c r="AJ69" s="3"/>
      <c r="AK69" s="3"/>
      <c r="AL69" s="3"/>
      <c r="AM69" s="3"/>
      <c r="AN69" s="3"/>
      <c r="AO69" s="3"/>
      <c r="AP69" s="3"/>
      <c r="AQ69" s="3"/>
    </row>
    <row r="70" spans="1:43" s="28" customFormat="1" x14ac:dyDescent="0.3">
      <c r="A70" s="41"/>
      <c r="B70" s="3"/>
      <c r="C70" s="12"/>
      <c r="D70" s="623"/>
      <c r="E70" s="623"/>
      <c r="F70" s="623"/>
      <c r="G70" s="25"/>
      <c r="H70" s="25"/>
      <c r="I70" s="25"/>
      <c r="J70" s="25"/>
      <c r="K70" s="30"/>
      <c r="L70" s="25"/>
      <c r="M70" s="25"/>
      <c r="N70" s="25"/>
      <c r="O70" s="3"/>
      <c r="P70" s="72"/>
      <c r="Q70" s="72"/>
      <c r="R70" s="72"/>
      <c r="S70" s="72"/>
      <c r="V70" s="30"/>
      <c r="W70" s="30"/>
      <c r="AB70" s="3"/>
      <c r="AC70" s="3"/>
      <c r="AD70" s="3"/>
      <c r="AE70" s="3"/>
      <c r="AF70" s="3"/>
      <c r="AG70" s="22"/>
      <c r="AH70" s="3"/>
      <c r="AI70" s="3"/>
      <c r="AJ70" s="3"/>
      <c r="AK70" s="3"/>
      <c r="AL70" s="3"/>
      <c r="AM70" s="3"/>
      <c r="AN70" s="3"/>
      <c r="AO70" s="3"/>
      <c r="AP70" s="3"/>
      <c r="AQ70" s="3"/>
    </row>
    <row r="71" spans="1:43" s="28" customFormat="1" x14ac:dyDescent="0.3">
      <c r="A71" s="41"/>
      <c r="B71" s="3"/>
      <c r="C71" s="12"/>
      <c r="D71" s="623"/>
      <c r="E71" s="623"/>
      <c r="F71" s="623"/>
      <c r="G71" s="25"/>
      <c r="H71" s="25"/>
      <c r="I71" s="25"/>
      <c r="J71" s="25"/>
      <c r="K71" s="30"/>
      <c r="L71" s="25"/>
      <c r="M71" s="25"/>
      <c r="N71" s="25"/>
      <c r="O71" s="3"/>
      <c r="P71" s="72"/>
      <c r="Q71" s="72"/>
      <c r="R71" s="72"/>
      <c r="S71" s="72"/>
      <c r="V71" s="30"/>
      <c r="W71" s="30"/>
      <c r="AB71" s="3"/>
      <c r="AC71" s="3"/>
      <c r="AD71" s="3"/>
      <c r="AE71" s="3"/>
      <c r="AF71" s="3"/>
      <c r="AG71" s="22"/>
      <c r="AH71" s="3"/>
      <c r="AI71" s="3"/>
      <c r="AJ71" s="3"/>
      <c r="AK71" s="3"/>
      <c r="AL71" s="3"/>
      <c r="AM71" s="3"/>
      <c r="AN71" s="3"/>
      <c r="AO71" s="3"/>
      <c r="AP71" s="3"/>
      <c r="AQ71" s="3"/>
    </row>
    <row r="72" spans="1:43" s="28" customFormat="1" x14ac:dyDescent="0.3">
      <c r="A72" s="41"/>
      <c r="B72" s="3"/>
      <c r="C72" s="12"/>
      <c r="D72" s="623"/>
      <c r="E72" s="623"/>
      <c r="F72" s="623"/>
      <c r="G72" s="25"/>
      <c r="H72" s="25"/>
      <c r="I72" s="25"/>
      <c r="J72" s="25"/>
      <c r="K72" s="30"/>
      <c r="L72" s="25"/>
      <c r="M72" s="25"/>
      <c r="N72" s="25"/>
      <c r="O72" s="3"/>
      <c r="P72" s="72"/>
      <c r="Q72" s="72"/>
      <c r="R72" s="72"/>
      <c r="S72" s="72"/>
      <c r="V72" s="30"/>
      <c r="W72" s="30"/>
      <c r="AB72" s="3"/>
      <c r="AC72" s="3"/>
      <c r="AD72" s="3"/>
      <c r="AE72" s="3"/>
      <c r="AF72" s="3"/>
      <c r="AG72" s="22"/>
      <c r="AH72" s="3"/>
      <c r="AI72" s="3"/>
      <c r="AJ72" s="3"/>
      <c r="AK72" s="3"/>
      <c r="AL72" s="3"/>
      <c r="AM72" s="3"/>
      <c r="AN72" s="3"/>
      <c r="AO72" s="3"/>
      <c r="AP72" s="3"/>
      <c r="AQ72" s="3"/>
    </row>
    <row r="73" spans="1:43" s="28" customFormat="1" x14ac:dyDescent="0.3">
      <c r="A73" s="41"/>
      <c r="B73" s="3"/>
      <c r="C73" s="12"/>
      <c r="D73" s="623"/>
      <c r="E73" s="623"/>
      <c r="F73" s="623"/>
      <c r="G73" s="25"/>
      <c r="H73" s="25"/>
      <c r="I73" s="25"/>
      <c r="J73" s="25"/>
      <c r="K73" s="30"/>
      <c r="L73" s="25"/>
      <c r="M73" s="25"/>
      <c r="N73" s="25"/>
      <c r="O73" s="3"/>
      <c r="P73" s="72"/>
      <c r="Q73" s="72"/>
      <c r="R73" s="72"/>
      <c r="S73" s="72"/>
      <c r="V73" s="30"/>
      <c r="W73" s="30"/>
      <c r="AB73" s="3"/>
      <c r="AC73" s="3"/>
      <c r="AD73" s="3"/>
      <c r="AE73" s="3"/>
      <c r="AF73" s="3"/>
      <c r="AG73" s="22"/>
      <c r="AH73" s="3"/>
      <c r="AI73" s="3"/>
      <c r="AJ73" s="3"/>
      <c r="AK73" s="3"/>
      <c r="AL73" s="3"/>
      <c r="AM73" s="3"/>
      <c r="AN73" s="3"/>
      <c r="AO73" s="3"/>
      <c r="AP73" s="3"/>
      <c r="AQ73" s="3"/>
    </row>
    <row r="74" spans="1:43" s="28" customFormat="1" x14ac:dyDescent="0.3">
      <c r="A74" s="41"/>
      <c r="B74" s="3"/>
      <c r="C74" s="12"/>
      <c r="D74" s="623"/>
      <c r="E74" s="623"/>
      <c r="F74" s="623"/>
      <c r="G74" s="25"/>
      <c r="H74" s="25"/>
      <c r="I74" s="25"/>
      <c r="J74" s="25"/>
      <c r="K74" s="30"/>
      <c r="L74" s="25"/>
      <c r="M74" s="25"/>
      <c r="N74" s="25"/>
      <c r="O74" s="3"/>
      <c r="P74" s="72"/>
      <c r="Q74" s="72"/>
      <c r="R74" s="72"/>
      <c r="S74" s="72"/>
      <c r="V74" s="30"/>
      <c r="W74" s="30"/>
      <c r="AB74" s="3"/>
      <c r="AC74" s="3"/>
      <c r="AD74" s="3"/>
      <c r="AE74" s="3"/>
      <c r="AF74" s="3"/>
      <c r="AG74" s="22"/>
      <c r="AH74" s="3"/>
      <c r="AI74" s="3"/>
      <c r="AJ74" s="3"/>
      <c r="AK74" s="3"/>
      <c r="AL74" s="3"/>
      <c r="AM74" s="3"/>
      <c r="AN74" s="3"/>
      <c r="AO74" s="3"/>
      <c r="AP74" s="3"/>
      <c r="AQ74" s="3"/>
    </row>
    <row r="75" spans="1:43" s="28" customFormat="1" x14ac:dyDescent="0.3">
      <c r="A75" s="41"/>
      <c r="B75" s="3"/>
      <c r="C75" s="12"/>
      <c r="D75" s="623"/>
      <c r="E75" s="623"/>
      <c r="F75" s="623"/>
      <c r="G75" s="25"/>
      <c r="H75" s="25"/>
      <c r="I75" s="25"/>
      <c r="J75" s="25"/>
      <c r="K75" s="30"/>
      <c r="L75" s="25"/>
      <c r="M75" s="25"/>
      <c r="N75" s="25"/>
      <c r="O75" s="3"/>
      <c r="P75" s="72"/>
      <c r="Q75" s="72"/>
      <c r="R75" s="72"/>
      <c r="S75" s="72"/>
      <c r="V75" s="30"/>
      <c r="W75" s="30"/>
      <c r="AB75" s="3"/>
      <c r="AC75" s="3"/>
      <c r="AD75" s="3"/>
      <c r="AE75" s="3"/>
      <c r="AF75" s="3"/>
      <c r="AG75" s="22"/>
      <c r="AH75" s="3"/>
      <c r="AI75" s="3"/>
      <c r="AJ75" s="3"/>
      <c r="AK75" s="3"/>
      <c r="AL75" s="3"/>
      <c r="AM75" s="3"/>
      <c r="AN75" s="3"/>
      <c r="AO75" s="3"/>
      <c r="AP75" s="3"/>
      <c r="AQ75" s="3"/>
    </row>
    <row r="76" spans="1:43" s="28" customFormat="1" x14ac:dyDescent="0.3">
      <c r="A76" s="41"/>
      <c r="B76" s="3"/>
      <c r="C76" s="12"/>
      <c r="D76" s="623"/>
      <c r="E76" s="623"/>
      <c r="F76" s="623"/>
      <c r="G76" s="25"/>
      <c r="H76" s="25"/>
      <c r="I76" s="25"/>
      <c r="J76" s="25"/>
      <c r="K76" s="30"/>
      <c r="L76" s="25"/>
      <c r="M76" s="25"/>
      <c r="N76" s="25"/>
      <c r="O76" s="3"/>
      <c r="P76" s="72"/>
      <c r="Q76" s="72"/>
      <c r="R76" s="72"/>
      <c r="S76" s="72"/>
      <c r="V76" s="30"/>
      <c r="W76" s="30"/>
      <c r="AB76" s="3"/>
      <c r="AC76" s="3"/>
      <c r="AD76" s="3"/>
      <c r="AE76" s="3"/>
      <c r="AF76" s="3"/>
      <c r="AG76" s="22"/>
      <c r="AH76" s="3"/>
      <c r="AI76" s="3"/>
      <c r="AJ76" s="3"/>
      <c r="AK76" s="3"/>
      <c r="AL76" s="3"/>
      <c r="AM76" s="3"/>
      <c r="AN76" s="3"/>
      <c r="AO76" s="3"/>
      <c r="AP76" s="3"/>
      <c r="AQ76" s="3"/>
    </row>
    <row r="77" spans="1:43" s="28" customFormat="1" x14ac:dyDescent="0.3">
      <c r="A77" s="41"/>
      <c r="B77" s="3"/>
      <c r="C77" s="12"/>
      <c r="D77" s="623"/>
      <c r="E77" s="623"/>
      <c r="F77" s="623"/>
      <c r="G77" s="25"/>
      <c r="H77" s="25"/>
      <c r="I77" s="25"/>
      <c r="J77" s="25"/>
      <c r="K77" s="30"/>
      <c r="L77" s="25"/>
      <c r="M77" s="25"/>
      <c r="N77" s="25"/>
      <c r="O77" s="3"/>
      <c r="P77" s="72"/>
      <c r="Q77" s="72"/>
      <c r="R77" s="72"/>
      <c r="S77" s="72"/>
      <c r="V77" s="30"/>
      <c r="W77" s="30"/>
      <c r="AB77" s="3"/>
      <c r="AC77" s="3"/>
      <c r="AD77" s="3"/>
      <c r="AE77" s="3"/>
      <c r="AF77" s="3"/>
      <c r="AG77" s="22"/>
      <c r="AH77" s="3"/>
      <c r="AI77" s="3"/>
      <c r="AJ77" s="3"/>
      <c r="AK77" s="3"/>
      <c r="AL77" s="3"/>
      <c r="AM77" s="3"/>
      <c r="AN77" s="3"/>
      <c r="AO77" s="3"/>
      <c r="AP77" s="3"/>
      <c r="AQ77" s="3"/>
    </row>
    <row r="78" spans="1:43" s="28" customFormat="1" x14ac:dyDescent="0.3">
      <c r="A78" s="41"/>
      <c r="B78" s="3"/>
      <c r="C78" s="12"/>
      <c r="D78" s="623"/>
      <c r="E78" s="623"/>
      <c r="F78" s="623"/>
      <c r="G78" s="25"/>
      <c r="H78" s="25"/>
      <c r="I78" s="25"/>
      <c r="J78" s="25"/>
      <c r="K78" s="30"/>
      <c r="L78" s="25"/>
      <c r="M78" s="25"/>
      <c r="N78" s="25"/>
      <c r="O78" s="3"/>
      <c r="P78" s="72"/>
      <c r="Q78" s="72"/>
      <c r="R78" s="72"/>
      <c r="S78" s="72"/>
      <c r="V78" s="30"/>
      <c r="W78" s="30"/>
      <c r="AB78" s="3"/>
      <c r="AC78" s="3"/>
      <c r="AD78" s="3"/>
      <c r="AE78" s="3"/>
      <c r="AF78" s="3"/>
      <c r="AG78" s="22"/>
      <c r="AH78" s="3"/>
      <c r="AI78" s="3"/>
      <c r="AJ78" s="3"/>
      <c r="AK78" s="3"/>
      <c r="AL78" s="3"/>
      <c r="AM78" s="3"/>
      <c r="AN78" s="3"/>
      <c r="AO78" s="3"/>
      <c r="AP78" s="3"/>
      <c r="AQ78" s="3"/>
    </row>
    <row r="79" spans="1:43" s="28" customFormat="1" x14ac:dyDescent="0.3">
      <c r="A79" s="41"/>
      <c r="B79" s="3"/>
      <c r="C79" s="12"/>
      <c r="D79" s="623"/>
      <c r="E79" s="623"/>
      <c r="F79" s="623"/>
      <c r="G79" s="25"/>
      <c r="H79" s="25"/>
      <c r="I79" s="25"/>
      <c r="J79" s="25"/>
      <c r="K79" s="30"/>
      <c r="L79" s="25"/>
      <c r="M79" s="25"/>
      <c r="N79" s="25"/>
      <c r="O79" s="3"/>
      <c r="P79" s="72"/>
      <c r="Q79" s="72"/>
      <c r="R79" s="72"/>
      <c r="S79" s="72"/>
      <c r="V79" s="30"/>
      <c r="W79" s="30"/>
      <c r="AB79" s="3"/>
      <c r="AC79" s="3"/>
      <c r="AD79" s="3"/>
      <c r="AE79" s="3"/>
      <c r="AF79" s="3"/>
      <c r="AG79" s="22"/>
      <c r="AH79" s="3"/>
      <c r="AI79" s="3"/>
      <c r="AJ79" s="3"/>
      <c r="AK79" s="3"/>
      <c r="AL79" s="3"/>
      <c r="AM79" s="3"/>
      <c r="AN79" s="3"/>
      <c r="AO79" s="3"/>
      <c r="AP79" s="3"/>
      <c r="AQ79" s="3"/>
    </row>
    <row r="80" spans="1:43" s="28" customFormat="1" x14ac:dyDescent="0.3">
      <c r="A80" s="41"/>
      <c r="B80" s="3"/>
      <c r="C80" s="12"/>
      <c r="D80" s="623"/>
      <c r="E80" s="623"/>
      <c r="F80" s="623"/>
      <c r="G80" s="25"/>
      <c r="H80" s="25"/>
      <c r="I80" s="25"/>
      <c r="J80" s="25"/>
      <c r="K80" s="30"/>
      <c r="L80" s="25"/>
      <c r="M80" s="25"/>
      <c r="N80" s="25"/>
      <c r="O80" s="3"/>
      <c r="P80" s="72"/>
      <c r="Q80" s="72"/>
      <c r="R80" s="72"/>
      <c r="S80" s="72"/>
      <c r="V80" s="30"/>
      <c r="W80" s="30"/>
      <c r="AB80" s="3"/>
      <c r="AC80" s="3"/>
      <c r="AD80" s="3"/>
      <c r="AE80" s="3"/>
      <c r="AF80" s="3"/>
      <c r="AG80" s="22"/>
      <c r="AH80" s="3"/>
      <c r="AI80" s="3"/>
      <c r="AJ80" s="3"/>
      <c r="AK80" s="3"/>
      <c r="AL80" s="3"/>
      <c r="AM80" s="3"/>
      <c r="AN80" s="3"/>
      <c r="AO80" s="3"/>
      <c r="AP80" s="3"/>
      <c r="AQ80" s="3"/>
    </row>
    <row r="81" spans="1:43" s="28" customFormat="1" x14ac:dyDescent="0.3">
      <c r="A81" s="41"/>
      <c r="B81" s="3"/>
      <c r="C81" s="12"/>
      <c r="D81" s="623"/>
      <c r="E81" s="623"/>
      <c r="F81" s="623"/>
      <c r="G81" s="25"/>
      <c r="H81" s="25"/>
      <c r="I81" s="25"/>
      <c r="J81" s="25"/>
      <c r="K81" s="30"/>
      <c r="L81" s="25"/>
      <c r="M81" s="25"/>
      <c r="N81" s="25"/>
      <c r="O81" s="3"/>
      <c r="P81" s="72"/>
      <c r="Q81" s="72"/>
      <c r="R81" s="72"/>
      <c r="S81" s="72"/>
      <c r="V81" s="30"/>
      <c r="W81" s="30"/>
      <c r="AB81" s="3"/>
      <c r="AC81" s="3"/>
      <c r="AD81" s="3"/>
      <c r="AE81" s="3"/>
      <c r="AF81" s="3"/>
      <c r="AG81" s="22"/>
      <c r="AH81" s="3"/>
      <c r="AI81" s="3"/>
      <c r="AJ81" s="3"/>
      <c r="AK81" s="3"/>
      <c r="AL81" s="3"/>
      <c r="AM81" s="3"/>
      <c r="AN81" s="3"/>
      <c r="AO81" s="3"/>
      <c r="AP81" s="3"/>
      <c r="AQ81" s="3"/>
    </row>
    <row r="82" spans="1:43" s="28" customFormat="1" x14ac:dyDescent="0.3">
      <c r="A82" s="41"/>
      <c r="B82" s="3"/>
      <c r="C82" s="12"/>
      <c r="D82" s="623"/>
      <c r="E82" s="623"/>
      <c r="F82" s="623"/>
      <c r="G82" s="25"/>
      <c r="H82" s="25"/>
      <c r="I82" s="25"/>
      <c r="J82" s="25"/>
      <c r="K82" s="30"/>
      <c r="L82" s="25"/>
      <c r="M82" s="25"/>
      <c r="N82" s="25"/>
      <c r="O82" s="3"/>
      <c r="P82" s="72"/>
      <c r="Q82" s="72"/>
      <c r="R82" s="72"/>
      <c r="S82" s="72"/>
      <c r="V82" s="30"/>
      <c r="W82" s="30"/>
      <c r="AB82" s="3"/>
      <c r="AC82" s="3"/>
      <c r="AD82" s="3"/>
      <c r="AE82" s="3"/>
      <c r="AF82" s="3"/>
      <c r="AG82" s="22"/>
      <c r="AH82" s="3"/>
      <c r="AI82" s="3"/>
      <c r="AJ82" s="3"/>
      <c r="AK82" s="3"/>
      <c r="AL82" s="3"/>
      <c r="AM82" s="3"/>
      <c r="AN82" s="3"/>
      <c r="AO82" s="3"/>
      <c r="AP82" s="3"/>
      <c r="AQ82" s="3"/>
    </row>
    <row r="83" spans="1:43" s="28" customFormat="1" x14ac:dyDescent="0.3">
      <c r="A83" s="41"/>
      <c r="B83" s="3"/>
      <c r="C83" s="12"/>
      <c r="D83" s="623"/>
      <c r="E83" s="623"/>
      <c r="F83" s="623"/>
      <c r="G83" s="25"/>
      <c r="H83" s="25"/>
      <c r="I83" s="25"/>
      <c r="J83" s="25"/>
      <c r="K83" s="30"/>
      <c r="L83" s="25"/>
      <c r="M83" s="25"/>
      <c r="N83" s="25"/>
      <c r="O83" s="3"/>
      <c r="P83" s="72"/>
      <c r="Q83" s="72"/>
      <c r="R83" s="72"/>
      <c r="S83" s="72"/>
      <c r="V83" s="30"/>
      <c r="W83" s="30"/>
      <c r="AB83" s="3"/>
      <c r="AC83" s="3"/>
      <c r="AD83" s="3"/>
      <c r="AE83" s="3"/>
      <c r="AF83" s="3"/>
      <c r="AG83" s="22"/>
      <c r="AH83" s="3"/>
      <c r="AI83" s="3"/>
      <c r="AJ83" s="3"/>
      <c r="AK83" s="3"/>
      <c r="AL83" s="3"/>
      <c r="AM83" s="3"/>
      <c r="AN83" s="3"/>
      <c r="AO83" s="3"/>
      <c r="AP83" s="3"/>
      <c r="AQ83" s="3"/>
    </row>
    <row r="84" spans="1:43" s="28" customFormat="1" x14ac:dyDescent="0.3">
      <c r="A84" s="41"/>
      <c r="B84" s="3"/>
      <c r="C84" s="12"/>
      <c r="D84" s="623"/>
      <c r="E84" s="623"/>
      <c r="F84" s="623"/>
      <c r="G84" s="25"/>
      <c r="H84" s="25"/>
      <c r="I84" s="25"/>
      <c r="J84" s="25"/>
      <c r="K84" s="30"/>
      <c r="L84" s="25"/>
      <c r="M84" s="25"/>
      <c r="N84" s="25"/>
      <c r="O84" s="3"/>
      <c r="P84" s="72"/>
      <c r="Q84" s="72"/>
      <c r="R84" s="72"/>
      <c r="S84" s="72"/>
      <c r="V84" s="30"/>
      <c r="W84" s="30"/>
      <c r="AB84" s="3"/>
      <c r="AC84" s="3"/>
      <c r="AD84" s="3"/>
      <c r="AE84" s="3"/>
      <c r="AF84" s="3"/>
      <c r="AG84" s="22"/>
      <c r="AH84" s="3"/>
      <c r="AI84" s="3"/>
      <c r="AJ84" s="3"/>
      <c r="AK84" s="3"/>
      <c r="AL84" s="3"/>
      <c r="AM84" s="3"/>
      <c r="AN84" s="3"/>
      <c r="AO84" s="3"/>
      <c r="AP84" s="3"/>
      <c r="AQ84" s="3"/>
    </row>
    <row r="85" spans="1:43" s="28" customFormat="1" x14ac:dyDescent="0.3">
      <c r="A85" s="41"/>
      <c r="B85" s="3"/>
      <c r="C85" s="12"/>
      <c r="D85" s="623"/>
      <c r="E85" s="623"/>
      <c r="F85" s="623"/>
      <c r="G85" s="25"/>
      <c r="H85" s="25"/>
      <c r="I85" s="25"/>
      <c r="J85" s="25"/>
      <c r="K85" s="30"/>
      <c r="L85" s="25"/>
      <c r="M85" s="25"/>
      <c r="N85" s="25"/>
      <c r="O85" s="3"/>
      <c r="P85" s="72"/>
      <c r="Q85" s="72"/>
      <c r="R85" s="72"/>
      <c r="S85" s="72"/>
      <c r="V85" s="30"/>
      <c r="W85" s="30"/>
      <c r="AB85" s="3"/>
      <c r="AC85" s="3"/>
      <c r="AD85" s="3"/>
      <c r="AE85" s="3"/>
      <c r="AF85" s="3"/>
      <c r="AG85" s="22"/>
      <c r="AH85" s="3"/>
      <c r="AI85" s="3"/>
      <c r="AJ85" s="3"/>
      <c r="AK85" s="3"/>
      <c r="AL85" s="3"/>
      <c r="AM85" s="3"/>
      <c r="AN85" s="3"/>
      <c r="AO85" s="3"/>
      <c r="AP85" s="3"/>
      <c r="AQ85" s="3"/>
    </row>
    <row r="86" spans="1:43" s="28" customFormat="1" x14ac:dyDescent="0.3">
      <c r="A86" s="41"/>
      <c r="B86" s="3"/>
      <c r="C86" s="12"/>
      <c r="D86" s="623"/>
      <c r="E86" s="623"/>
      <c r="F86" s="623"/>
      <c r="G86" s="25"/>
      <c r="H86" s="25"/>
      <c r="I86" s="25"/>
      <c r="J86" s="25"/>
      <c r="K86" s="26"/>
      <c r="L86" s="25"/>
      <c r="M86" s="25"/>
      <c r="N86" s="25"/>
      <c r="O86" s="3"/>
      <c r="P86" s="72"/>
      <c r="Q86" s="72"/>
      <c r="R86" s="72"/>
      <c r="S86" s="72"/>
      <c r="AB86" s="3"/>
      <c r="AC86" s="3"/>
      <c r="AD86" s="3"/>
      <c r="AE86" s="3"/>
      <c r="AF86" s="3"/>
      <c r="AG86" s="22"/>
      <c r="AH86" s="3"/>
      <c r="AI86" s="3"/>
      <c r="AJ86" s="3"/>
      <c r="AK86" s="3"/>
      <c r="AL86" s="3"/>
      <c r="AM86" s="3"/>
      <c r="AN86" s="3"/>
      <c r="AO86" s="3"/>
      <c r="AP86" s="3"/>
      <c r="AQ86" s="3"/>
    </row>
    <row r="87" spans="1:43" s="28" customFormat="1" x14ac:dyDescent="0.3">
      <c r="A87" s="41"/>
      <c r="B87" s="3"/>
      <c r="C87" s="12"/>
      <c r="D87" s="623"/>
      <c r="E87" s="623"/>
      <c r="F87" s="623"/>
      <c r="G87" s="25"/>
      <c r="H87" s="25"/>
      <c r="I87" s="25"/>
      <c r="J87" s="25"/>
      <c r="K87" s="26"/>
      <c r="L87" s="25"/>
      <c r="M87" s="25"/>
      <c r="N87" s="25"/>
      <c r="O87" s="3"/>
      <c r="P87" s="72"/>
      <c r="Q87" s="72"/>
      <c r="R87" s="72"/>
      <c r="S87" s="72"/>
      <c r="AB87" s="3"/>
      <c r="AC87" s="3"/>
      <c r="AD87" s="3"/>
      <c r="AE87" s="3"/>
      <c r="AF87" s="3"/>
      <c r="AG87" s="22"/>
      <c r="AH87" s="3"/>
      <c r="AI87" s="3"/>
      <c r="AJ87" s="3"/>
      <c r="AK87" s="3"/>
      <c r="AL87" s="3"/>
      <c r="AM87" s="3"/>
      <c r="AN87" s="3"/>
      <c r="AO87" s="3"/>
      <c r="AP87" s="3"/>
      <c r="AQ87" s="3"/>
    </row>
    <row r="88" spans="1:43" s="28" customFormat="1" x14ac:dyDescent="0.3">
      <c r="A88" s="41"/>
      <c r="B88" s="3"/>
      <c r="C88" s="12"/>
      <c r="D88" s="623"/>
      <c r="E88" s="623"/>
      <c r="F88" s="623"/>
      <c r="G88" s="25"/>
      <c r="H88" s="25"/>
      <c r="I88" s="25"/>
      <c r="J88" s="25"/>
      <c r="K88" s="26"/>
      <c r="L88" s="25"/>
      <c r="M88" s="25"/>
      <c r="N88" s="25"/>
      <c r="O88" s="3"/>
      <c r="P88" s="72"/>
      <c r="Q88" s="72"/>
      <c r="R88" s="72"/>
      <c r="S88" s="72"/>
      <c r="AB88" s="3"/>
      <c r="AC88" s="3"/>
      <c r="AD88" s="3"/>
      <c r="AE88" s="3"/>
      <c r="AF88" s="3"/>
      <c r="AG88" s="22"/>
      <c r="AH88" s="3"/>
      <c r="AI88" s="3"/>
      <c r="AJ88" s="3"/>
      <c r="AK88" s="3"/>
      <c r="AL88" s="3"/>
      <c r="AM88" s="3"/>
      <c r="AN88" s="3"/>
      <c r="AO88" s="3"/>
      <c r="AP88" s="3"/>
      <c r="AQ88" s="3"/>
    </row>
    <row r="89" spans="1:43" x14ac:dyDescent="0.3">
      <c r="D89" s="623"/>
      <c r="E89" s="623"/>
      <c r="F89" s="623"/>
    </row>
    <row r="90" spans="1:43" x14ac:dyDescent="0.3">
      <c r="D90" s="623"/>
      <c r="E90" s="623"/>
      <c r="F90" s="623"/>
    </row>
    <row r="91" spans="1:43" x14ac:dyDescent="0.3">
      <c r="D91" s="623"/>
      <c r="E91" s="623"/>
      <c r="F91" s="623"/>
    </row>
    <row r="92" spans="1:43" x14ac:dyDescent="0.3">
      <c r="D92" s="623"/>
      <c r="E92" s="623"/>
      <c r="F92" s="623"/>
    </row>
    <row r="93" spans="1:43" x14ac:dyDescent="0.3">
      <c r="D93" s="623"/>
      <c r="E93" s="623"/>
      <c r="F93" s="623"/>
    </row>
    <row r="94" spans="1:43" x14ac:dyDescent="0.3">
      <c r="D94" s="623"/>
      <c r="E94" s="623"/>
      <c r="F94" s="623"/>
    </row>
    <row r="95" spans="1:43" x14ac:dyDescent="0.3">
      <c r="D95" s="623"/>
      <c r="E95" s="623"/>
      <c r="F95" s="623"/>
    </row>
    <row r="96" spans="1:43" x14ac:dyDescent="0.3">
      <c r="D96" s="623"/>
      <c r="E96" s="623"/>
      <c r="F96" s="623"/>
    </row>
    <row r="97" spans="1:43" x14ac:dyDescent="0.3">
      <c r="D97" s="623"/>
      <c r="E97" s="623"/>
      <c r="F97" s="623"/>
    </row>
    <row r="98" spans="1:43" s="25" customFormat="1" x14ac:dyDescent="0.3">
      <c r="A98" s="41"/>
      <c r="B98" s="3"/>
      <c r="C98" s="12"/>
      <c r="D98" s="623"/>
      <c r="E98" s="623"/>
      <c r="F98" s="623"/>
      <c r="K98" s="26"/>
      <c r="O98" s="3"/>
      <c r="P98" s="72"/>
      <c r="Q98" s="72"/>
      <c r="R98" s="72"/>
      <c r="S98" s="72"/>
      <c r="T98" s="28"/>
      <c r="U98" s="28"/>
      <c r="V98" s="28"/>
      <c r="W98" s="28"/>
      <c r="X98" s="28"/>
      <c r="Y98" s="28"/>
      <c r="Z98" s="28"/>
      <c r="AA98" s="28"/>
      <c r="AB98" s="3"/>
      <c r="AC98" s="3"/>
      <c r="AD98" s="3"/>
      <c r="AE98" s="3"/>
      <c r="AF98" s="3"/>
      <c r="AG98" s="22"/>
      <c r="AH98" s="3"/>
      <c r="AI98" s="3"/>
      <c r="AJ98" s="3"/>
      <c r="AK98" s="3"/>
      <c r="AL98" s="3"/>
      <c r="AM98" s="3"/>
      <c r="AN98" s="3"/>
      <c r="AO98" s="3"/>
      <c r="AP98" s="3"/>
      <c r="AQ98" s="3"/>
    </row>
    <row r="99" spans="1:43" s="25" customFormat="1" x14ac:dyDescent="0.3">
      <c r="A99" s="41"/>
      <c r="B99" s="3"/>
      <c r="C99" s="12"/>
      <c r="D99" s="623"/>
      <c r="E99" s="623"/>
      <c r="F99" s="623"/>
      <c r="K99" s="26"/>
      <c r="O99" s="3"/>
      <c r="P99" s="72"/>
      <c r="Q99" s="72"/>
      <c r="R99" s="72"/>
      <c r="S99" s="72"/>
      <c r="T99" s="28"/>
      <c r="U99" s="28"/>
      <c r="V99" s="28"/>
      <c r="W99" s="28"/>
      <c r="X99" s="28"/>
      <c r="Y99" s="28"/>
      <c r="Z99" s="28"/>
      <c r="AA99" s="28"/>
      <c r="AB99" s="3"/>
      <c r="AC99" s="3"/>
      <c r="AD99" s="3"/>
      <c r="AE99" s="3"/>
      <c r="AF99" s="3"/>
      <c r="AG99" s="22"/>
      <c r="AH99" s="3"/>
      <c r="AI99" s="3"/>
      <c r="AJ99" s="3"/>
      <c r="AK99" s="3"/>
      <c r="AL99" s="3"/>
      <c r="AM99" s="3"/>
      <c r="AN99" s="3"/>
      <c r="AO99" s="3"/>
      <c r="AP99" s="3"/>
      <c r="AQ99" s="3"/>
    </row>
    <row r="100" spans="1:43" s="25" customFormat="1" x14ac:dyDescent="0.3">
      <c r="A100" s="41"/>
      <c r="B100" s="3"/>
      <c r="C100" s="12"/>
      <c r="D100" s="623"/>
      <c r="E100" s="623"/>
      <c r="F100" s="623"/>
      <c r="K100" s="26"/>
      <c r="O100" s="3"/>
      <c r="P100" s="72"/>
      <c r="Q100" s="72"/>
      <c r="R100" s="72"/>
      <c r="S100" s="72"/>
      <c r="T100" s="28"/>
      <c r="U100" s="28"/>
      <c r="V100" s="28"/>
      <c r="W100" s="28"/>
      <c r="X100" s="28"/>
      <c r="Y100" s="28"/>
      <c r="Z100" s="28"/>
      <c r="AA100" s="28"/>
      <c r="AB100" s="3"/>
      <c r="AC100" s="3"/>
      <c r="AD100" s="3"/>
      <c r="AE100" s="3"/>
      <c r="AF100" s="3"/>
      <c r="AG100" s="22"/>
      <c r="AH100" s="3"/>
      <c r="AI100" s="3"/>
      <c r="AJ100" s="3"/>
      <c r="AK100" s="3"/>
      <c r="AL100" s="3"/>
      <c r="AM100" s="3"/>
      <c r="AN100" s="3"/>
      <c r="AO100" s="3"/>
      <c r="AP100" s="3"/>
      <c r="AQ100" s="3"/>
    </row>
    <row r="101" spans="1:43" s="25" customFormat="1" x14ac:dyDescent="0.3">
      <c r="A101" s="41"/>
      <c r="B101" s="3"/>
      <c r="C101" s="12"/>
      <c r="D101" s="623"/>
      <c r="E101" s="623"/>
      <c r="F101" s="623"/>
      <c r="K101" s="26"/>
      <c r="O101" s="3"/>
      <c r="P101" s="72"/>
      <c r="Q101" s="72"/>
      <c r="R101" s="72"/>
      <c r="S101" s="72"/>
      <c r="T101" s="28"/>
      <c r="U101" s="28"/>
      <c r="V101" s="28"/>
      <c r="W101" s="28"/>
      <c r="X101" s="28"/>
      <c r="Y101" s="28"/>
      <c r="Z101" s="28"/>
      <c r="AA101" s="28"/>
      <c r="AB101" s="3"/>
      <c r="AC101" s="3"/>
      <c r="AD101" s="3"/>
      <c r="AE101" s="3"/>
      <c r="AF101" s="3"/>
      <c r="AG101" s="22"/>
      <c r="AH101" s="3"/>
      <c r="AI101" s="3"/>
      <c r="AJ101" s="3"/>
      <c r="AK101" s="3"/>
      <c r="AL101" s="3"/>
      <c r="AM101" s="3"/>
      <c r="AN101" s="3"/>
      <c r="AO101" s="3"/>
      <c r="AP101" s="3"/>
      <c r="AQ101" s="3"/>
    </row>
    <row r="102" spans="1:43" s="25" customFormat="1" x14ac:dyDescent="0.3">
      <c r="A102" s="41"/>
      <c r="B102" s="3"/>
      <c r="C102" s="12"/>
      <c r="D102" s="623"/>
      <c r="E102" s="623"/>
      <c r="F102" s="623"/>
      <c r="K102" s="26"/>
      <c r="O102" s="3"/>
      <c r="P102" s="72"/>
      <c r="Q102" s="72"/>
      <c r="R102" s="72"/>
      <c r="S102" s="72"/>
      <c r="T102" s="28"/>
      <c r="U102" s="28"/>
      <c r="V102" s="28"/>
      <c r="W102" s="28"/>
      <c r="X102" s="28"/>
      <c r="Y102" s="28"/>
      <c r="Z102" s="28"/>
      <c r="AA102" s="28"/>
      <c r="AB102" s="3"/>
      <c r="AC102" s="3"/>
      <c r="AD102" s="3"/>
      <c r="AE102" s="3"/>
      <c r="AF102" s="3"/>
      <c r="AG102" s="22"/>
      <c r="AH102" s="3"/>
      <c r="AI102" s="3"/>
      <c r="AJ102" s="3"/>
      <c r="AK102" s="3"/>
      <c r="AL102" s="3"/>
      <c r="AM102" s="3"/>
      <c r="AN102" s="3"/>
      <c r="AO102" s="3"/>
      <c r="AP102" s="3"/>
      <c r="AQ102" s="3"/>
    </row>
    <row r="103" spans="1:43" s="25" customFormat="1" x14ac:dyDescent="0.3">
      <c r="A103" s="41"/>
      <c r="B103" s="3"/>
      <c r="C103" s="12"/>
      <c r="D103" s="623"/>
      <c r="E103" s="623"/>
      <c r="F103" s="623"/>
      <c r="K103" s="26"/>
      <c r="O103" s="3"/>
      <c r="P103" s="72"/>
      <c r="Q103" s="72"/>
      <c r="R103" s="72"/>
      <c r="S103" s="72"/>
      <c r="T103" s="28"/>
      <c r="U103" s="28"/>
      <c r="V103" s="28"/>
      <c r="W103" s="28"/>
      <c r="X103" s="28"/>
      <c r="Y103" s="28"/>
      <c r="Z103" s="28"/>
      <c r="AA103" s="28"/>
      <c r="AB103" s="3"/>
      <c r="AC103" s="3"/>
      <c r="AD103" s="3"/>
      <c r="AE103" s="3"/>
      <c r="AF103" s="3"/>
      <c r="AG103" s="22"/>
      <c r="AH103" s="3"/>
      <c r="AI103" s="3"/>
      <c r="AJ103" s="3"/>
      <c r="AK103" s="3"/>
      <c r="AL103" s="3"/>
      <c r="AM103" s="3"/>
      <c r="AN103" s="3"/>
      <c r="AO103" s="3"/>
      <c r="AP103" s="3"/>
      <c r="AQ103" s="3"/>
    </row>
    <row r="104" spans="1:43" s="25" customFormat="1" x14ac:dyDescent="0.3">
      <c r="A104" s="41"/>
      <c r="B104" s="3"/>
      <c r="C104" s="12"/>
      <c r="D104" s="623"/>
      <c r="E104" s="623"/>
      <c r="F104" s="623"/>
      <c r="K104" s="26"/>
      <c r="O104" s="3"/>
      <c r="P104" s="72"/>
      <c r="Q104" s="72"/>
      <c r="R104" s="72"/>
      <c r="S104" s="72"/>
      <c r="T104" s="28"/>
      <c r="U104" s="28"/>
      <c r="V104" s="28"/>
      <c r="W104" s="28"/>
      <c r="X104" s="28"/>
      <c r="Y104" s="28"/>
      <c r="Z104" s="28"/>
      <c r="AA104" s="28"/>
      <c r="AB104" s="3"/>
      <c r="AC104" s="3"/>
      <c r="AD104" s="3"/>
      <c r="AE104" s="3"/>
      <c r="AF104" s="3"/>
      <c r="AG104" s="22"/>
      <c r="AH104" s="3"/>
      <c r="AI104" s="3"/>
      <c r="AJ104" s="3"/>
      <c r="AK104" s="3"/>
      <c r="AL104" s="3"/>
      <c r="AM104" s="3"/>
      <c r="AN104" s="3"/>
      <c r="AO104" s="3"/>
      <c r="AP104" s="3"/>
      <c r="AQ104" s="3"/>
    </row>
    <row r="105" spans="1:43" s="25" customFormat="1" x14ac:dyDescent="0.3">
      <c r="A105" s="41"/>
      <c r="B105" s="3"/>
      <c r="C105" s="12"/>
      <c r="D105" s="623"/>
      <c r="E105" s="623"/>
      <c r="F105" s="623"/>
      <c r="K105" s="26"/>
      <c r="O105" s="3"/>
      <c r="P105" s="72"/>
      <c r="Q105" s="72"/>
      <c r="R105" s="72"/>
      <c r="S105" s="72"/>
      <c r="T105" s="28"/>
      <c r="U105" s="28"/>
      <c r="V105" s="28"/>
      <c r="W105" s="28"/>
      <c r="X105" s="28"/>
      <c r="Y105" s="28"/>
      <c r="Z105" s="28"/>
      <c r="AA105" s="28"/>
      <c r="AB105" s="3"/>
      <c r="AC105" s="3"/>
      <c r="AD105" s="3"/>
      <c r="AE105" s="3"/>
      <c r="AF105" s="3"/>
      <c r="AG105" s="22"/>
      <c r="AH105" s="3"/>
      <c r="AI105" s="3"/>
      <c r="AJ105" s="3"/>
      <c r="AK105" s="3"/>
      <c r="AL105" s="3"/>
      <c r="AM105" s="3"/>
      <c r="AN105" s="3"/>
      <c r="AO105" s="3"/>
      <c r="AP105" s="3"/>
      <c r="AQ105" s="3"/>
    </row>
    <row r="106" spans="1:43" s="25" customFormat="1" x14ac:dyDescent="0.3">
      <c r="A106" s="41"/>
      <c r="B106" s="3"/>
      <c r="C106" s="12"/>
      <c r="D106" s="623"/>
      <c r="E106" s="623"/>
      <c r="F106" s="623"/>
      <c r="K106" s="26"/>
      <c r="O106" s="3"/>
      <c r="P106" s="72"/>
      <c r="Q106" s="72"/>
      <c r="R106" s="72"/>
      <c r="S106" s="72"/>
      <c r="T106" s="28"/>
      <c r="U106" s="28"/>
      <c r="V106" s="28"/>
      <c r="W106" s="28"/>
      <c r="X106" s="28"/>
      <c r="Y106" s="28"/>
      <c r="Z106" s="28"/>
      <c r="AA106" s="28"/>
      <c r="AB106" s="3"/>
      <c r="AC106" s="3"/>
      <c r="AD106" s="3"/>
      <c r="AE106" s="3"/>
      <c r="AF106" s="3"/>
      <c r="AG106" s="22"/>
      <c r="AH106" s="3"/>
      <c r="AI106" s="3"/>
      <c r="AJ106" s="3"/>
      <c r="AK106" s="3"/>
      <c r="AL106" s="3"/>
      <c r="AM106" s="3"/>
      <c r="AN106" s="3"/>
      <c r="AO106" s="3"/>
      <c r="AP106" s="3"/>
      <c r="AQ106" s="3"/>
    </row>
    <row r="107" spans="1:43" s="25" customFormat="1" x14ac:dyDescent="0.3">
      <c r="A107" s="41"/>
      <c r="B107" s="3"/>
      <c r="C107" s="12"/>
      <c r="D107" s="623"/>
      <c r="E107" s="623"/>
      <c r="F107" s="623"/>
      <c r="K107" s="26"/>
      <c r="O107" s="3"/>
      <c r="P107" s="72"/>
      <c r="Q107" s="72"/>
      <c r="R107" s="72"/>
      <c r="S107" s="72"/>
      <c r="T107" s="28"/>
      <c r="U107" s="28"/>
      <c r="V107" s="28"/>
      <c r="W107" s="28"/>
      <c r="X107" s="28"/>
      <c r="Y107" s="28"/>
      <c r="Z107" s="28"/>
      <c r="AA107" s="28"/>
      <c r="AB107" s="3"/>
      <c r="AC107" s="3"/>
      <c r="AD107" s="3"/>
      <c r="AE107" s="3"/>
      <c r="AF107" s="3"/>
      <c r="AG107" s="22"/>
      <c r="AH107" s="3"/>
      <c r="AI107" s="3"/>
      <c r="AJ107" s="3"/>
      <c r="AK107" s="3"/>
      <c r="AL107" s="3"/>
      <c r="AM107" s="3"/>
      <c r="AN107" s="3"/>
      <c r="AO107" s="3"/>
      <c r="AP107" s="3"/>
      <c r="AQ107" s="3"/>
    </row>
    <row r="108" spans="1:43" s="25" customFormat="1" x14ac:dyDescent="0.3">
      <c r="A108" s="41"/>
      <c r="B108" s="3"/>
      <c r="C108" s="12"/>
      <c r="D108" s="623"/>
      <c r="E108" s="623"/>
      <c r="F108" s="623"/>
      <c r="K108" s="26"/>
      <c r="O108" s="3"/>
      <c r="P108" s="72"/>
      <c r="Q108" s="72"/>
      <c r="R108" s="72"/>
      <c r="S108" s="72"/>
      <c r="T108" s="28"/>
      <c r="U108" s="28"/>
      <c r="V108" s="28"/>
      <c r="W108" s="28"/>
      <c r="X108" s="28"/>
      <c r="Y108" s="28"/>
      <c r="Z108" s="28"/>
      <c r="AA108" s="28"/>
      <c r="AB108" s="3"/>
      <c r="AC108" s="3"/>
      <c r="AD108" s="3"/>
      <c r="AE108" s="3"/>
      <c r="AF108" s="3"/>
      <c r="AG108" s="22"/>
      <c r="AH108" s="3"/>
      <c r="AI108" s="3"/>
      <c r="AJ108" s="3"/>
      <c r="AK108" s="3"/>
      <c r="AL108" s="3"/>
      <c r="AM108" s="3"/>
      <c r="AN108" s="3"/>
      <c r="AO108" s="3"/>
      <c r="AP108" s="3"/>
      <c r="AQ108" s="3"/>
    </row>
    <row r="109" spans="1:43" s="25" customFormat="1" x14ac:dyDescent="0.3">
      <c r="A109" s="41"/>
      <c r="B109" s="3"/>
      <c r="C109" s="12"/>
      <c r="D109" s="623"/>
      <c r="E109" s="623"/>
      <c r="F109" s="623"/>
      <c r="K109" s="26"/>
      <c r="O109" s="3"/>
      <c r="P109" s="72"/>
      <c r="Q109" s="72"/>
      <c r="R109" s="72"/>
      <c r="S109" s="72"/>
      <c r="T109" s="28"/>
      <c r="U109" s="28"/>
      <c r="V109" s="28"/>
      <c r="W109" s="28"/>
      <c r="X109" s="28"/>
      <c r="Y109" s="28"/>
      <c r="Z109" s="28"/>
      <c r="AA109" s="28"/>
      <c r="AB109" s="3"/>
      <c r="AC109" s="3"/>
      <c r="AD109" s="3"/>
      <c r="AE109" s="3"/>
      <c r="AF109" s="3"/>
      <c r="AG109" s="22"/>
      <c r="AH109" s="3"/>
      <c r="AI109" s="3"/>
      <c r="AJ109" s="3"/>
      <c r="AK109" s="3"/>
      <c r="AL109" s="3"/>
      <c r="AM109" s="3"/>
      <c r="AN109" s="3"/>
      <c r="AO109" s="3"/>
      <c r="AP109" s="3"/>
      <c r="AQ109" s="3"/>
    </row>
    <row r="110" spans="1:43" s="25" customFormat="1" x14ac:dyDescent="0.3">
      <c r="A110" s="41"/>
      <c r="B110" s="3"/>
      <c r="C110" s="12"/>
      <c r="D110" s="623"/>
      <c r="E110" s="623"/>
      <c r="F110" s="623"/>
      <c r="K110" s="26"/>
      <c r="O110" s="3"/>
      <c r="P110" s="72"/>
      <c r="Q110" s="72"/>
      <c r="R110" s="72"/>
      <c r="S110" s="72"/>
      <c r="T110" s="28"/>
      <c r="U110" s="28"/>
      <c r="V110" s="28"/>
      <c r="W110" s="28"/>
      <c r="X110" s="28"/>
      <c r="Y110" s="28"/>
      <c r="Z110" s="28"/>
      <c r="AA110" s="28"/>
      <c r="AB110" s="3"/>
      <c r="AC110" s="3"/>
      <c r="AD110" s="3"/>
      <c r="AE110" s="3"/>
      <c r="AF110" s="3"/>
      <c r="AG110" s="22"/>
      <c r="AH110" s="3"/>
      <c r="AI110" s="3"/>
      <c r="AJ110" s="3"/>
      <c r="AK110" s="3"/>
      <c r="AL110" s="3"/>
      <c r="AM110" s="3"/>
      <c r="AN110" s="3"/>
      <c r="AO110" s="3"/>
      <c r="AP110" s="3"/>
      <c r="AQ110" s="3"/>
    </row>
    <row r="111" spans="1:43" s="25" customFormat="1" x14ac:dyDescent="0.3">
      <c r="A111" s="41"/>
      <c r="B111" s="3"/>
      <c r="C111" s="12"/>
      <c r="D111" s="623"/>
      <c r="E111" s="623"/>
      <c r="F111" s="623"/>
      <c r="K111" s="26"/>
      <c r="O111" s="3"/>
      <c r="P111" s="72"/>
      <c r="Q111" s="72"/>
      <c r="R111" s="72"/>
      <c r="S111" s="72"/>
      <c r="T111" s="28"/>
      <c r="U111" s="28"/>
      <c r="V111" s="28"/>
      <c r="W111" s="28"/>
      <c r="X111" s="28"/>
      <c r="Y111" s="28"/>
      <c r="Z111" s="28"/>
      <c r="AA111" s="28"/>
      <c r="AB111" s="3"/>
      <c r="AC111" s="3"/>
      <c r="AD111" s="3"/>
      <c r="AE111" s="3"/>
      <c r="AF111" s="3"/>
      <c r="AG111" s="22"/>
      <c r="AH111" s="3"/>
      <c r="AI111" s="3"/>
      <c r="AJ111" s="3"/>
      <c r="AK111" s="3"/>
      <c r="AL111" s="3"/>
      <c r="AM111" s="3"/>
      <c r="AN111" s="3"/>
      <c r="AO111" s="3"/>
      <c r="AP111" s="3"/>
      <c r="AQ111" s="3"/>
    </row>
    <row r="112" spans="1:43" s="25" customFormat="1" x14ac:dyDescent="0.3">
      <c r="A112" s="41"/>
      <c r="B112" s="3"/>
      <c r="C112" s="12"/>
      <c r="D112" s="623"/>
      <c r="E112" s="623"/>
      <c r="F112" s="623"/>
      <c r="K112" s="26"/>
      <c r="O112" s="3"/>
      <c r="P112" s="72"/>
      <c r="Q112" s="72"/>
      <c r="R112" s="72"/>
      <c r="S112" s="72"/>
      <c r="T112" s="28"/>
      <c r="U112" s="28"/>
      <c r="V112" s="28"/>
      <c r="W112" s="28"/>
      <c r="X112" s="28"/>
      <c r="Y112" s="28"/>
      <c r="Z112" s="28"/>
      <c r="AA112" s="28"/>
      <c r="AB112" s="3"/>
      <c r="AC112" s="3"/>
      <c r="AD112" s="3"/>
      <c r="AE112" s="3"/>
      <c r="AF112" s="3"/>
      <c r="AG112" s="22"/>
      <c r="AH112" s="3"/>
      <c r="AI112" s="3"/>
      <c r="AJ112" s="3"/>
      <c r="AK112" s="3"/>
      <c r="AL112" s="3"/>
      <c r="AM112" s="3"/>
      <c r="AN112" s="3"/>
      <c r="AO112" s="3"/>
      <c r="AP112" s="3"/>
      <c r="AQ112" s="3"/>
    </row>
    <row r="113" spans="1:43" s="25" customFormat="1" x14ac:dyDescent="0.3">
      <c r="A113" s="41"/>
      <c r="B113" s="3"/>
      <c r="C113" s="12"/>
      <c r="D113" s="623"/>
      <c r="E113" s="623"/>
      <c r="F113" s="623"/>
      <c r="K113" s="26"/>
      <c r="O113" s="3"/>
      <c r="P113" s="72"/>
      <c r="Q113" s="72"/>
      <c r="R113" s="72"/>
      <c r="S113" s="72"/>
      <c r="T113" s="28"/>
      <c r="U113" s="28"/>
      <c r="V113" s="28"/>
      <c r="W113" s="28"/>
      <c r="X113" s="28"/>
      <c r="Y113" s="28"/>
      <c r="Z113" s="28"/>
      <c r="AA113" s="28"/>
      <c r="AB113" s="3"/>
      <c r="AC113" s="3"/>
      <c r="AD113" s="3"/>
      <c r="AE113" s="3"/>
      <c r="AF113" s="3"/>
      <c r="AG113" s="22"/>
      <c r="AH113" s="3"/>
      <c r="AI113" s="3"/>
      <c r="AJ113" s="3"/>
      <c r="AK113" s="3"/>
      <c r="AL113" s="3"/>
      <c r="AM113" s="3"/>
      <c r="AN113" s="3"/>
      <c r="AO113" s="3"/>
      <c r="AP113" s="3"/>
      <c r="AQ113" s="3"/>
    </row>
  </sheetData>
  <mergeCells count="108">
    <mergeCell ref="D113:F113"/>
    <mergeCell ref="D17:G17"/>
    <mergeCell ref="D18:G18"/>
    <mergeCell ref="D107:F107"/>
    <mergeCell ref="D108:F108"/>
    <mergeCell ref="D109:F109"/>
    <mergeCell ref="D110:F110"/>
    <mergeCell ref="D111:F111"/>
    <mergeCell ref="D112:F112"/>
    <mergeCell ref="D101:F101"/>
    <mergeCell ref="D102:F102"/>
    <mergeCell ref="D103:F103"/>
    <mergeCell ref="D104:F104"/>
    <mergeCell ref="D105:F105"/>
    <mergeCell ref="D106:F106"/>
    <mergeCell ref="D95:F95"/>
    <mergeCell ref="D96:F96"/>
    <mergeCell ref="D97:F97"/>
    <mergeCell ref="D98:F98"/>
    <mergeCell ref="D99:F99"/>
    <mergeCell ref="D100:F100"/>
    <mergeCell ref="D89:F89"/>
    <mergeCell ref="D90:F90"/>
    <mergeCell ref="D91:F91"/>
    <mergeCell ref="D92:F92"/>
    <mergeCell ref="D93:F93"/>
    <mergeCell ref="D94:F94"/>
    <mergeCell ref="D83:F83"/>
    <mergeCell ref="D84:F84"/>
    <mergeCell ref="D85:F85"/>
    <mergeCell ref="D86:F86"/>
    <mergeCell ref="D87:F87"/>
    <mergeCell ref="D88:F88"/>
    <mergeCell ref="D77:F77"/>
    <mergeCell ref="D78:F78"/>
    <mergeCell ref="D79:F79"/>
    <mergeCell ref="D80:F80"/>
    <mergeCell ref="D81:F81"/>
    <mergeCell ref="D82:F82"/>
    <mergeCell ref="D71:F71"/>
    <mergeCell ref="D72:F72"/>
    <mergeCell ref="D73:F73"/>
    <mergeCell ref="D74:F74"/>
    <mergeCell ref="D75:F75"/>
    <mergeCell ref="D76:F76"/>
    <mergeCell ref="D65:F65"/>
    <mergeCell ref="D66:F66"/>
    <mergeCell ref="D67:F67"/>
    <mergeCell ref="D68:F68"/>
    <mergeCell ref="D69:F69"/>
    <mergeCell ref="D70:F70"/>
    <mergeCell ref="D59:F59"/>
    <mergeCell ref="D60:F60"/>
    <mergeCell ref="D61:F61"/>
    <mergeCell ref="D62:F62"/>
    <mergeCell ref="D63:F63"/>
    <mergeCell ref="D64:F64"/>
    <mergeCell ref="D53:F53"/>
    <mergeCell ref="D54:F54"/>
    <mergeCell ref="D55:F55"/>
    <mergeCell ref="D56:F56"/>
    <mergeCell ref="D57:F57"/>
    <mergeCell ref="D58:F58"/>
    <mergeCell ref="D47:F47"/>
    <mergeCell ref="D48:F48"/>
    <mergeCell ref="D49:F49"/>
    <mergeCell ref="D50:F50"/>
    <mergeCell ref="D51:F51"/>
    <mergeCell ref="D52:F52"/>
    <mergeCell ref="D41:F41"/>
    <mergeCell ref="D42:F42"/>
    <mergeCell ref="D43:F43"/>
    <mergeCell ref="D44:F44"/>
    <mergeCell ref="D45:F45"/>
    <mergeCell ref="D46:F46"/>
    <mergeCell ref="D35:F35"/>
    <mergeCell ref="D36:F36"/>
    <mergeCell ref="D37:F37"/>
    <mergeCell ref="D38:F38"/>
    <mergeCell ref="D39:F39"/>
    <mergeCell ref="D40:F40"/>
    <mergeCell ref="D19:G19"/>
    <mergeCell ref="K19:L19"/>
    <mergeCell ref="D20:G20"/>
    <mergeCell ref="K20:L20"/>
    <mergeCell ref="D33:F33"/>
    <mergeCell ref="D34:F34"/>
    <mergeCell ref="D14:G14"/>
    <mergeCell ref="K14:L14"/>
    <mergeCell ref="D15:G15"/>
    <mergeCell ref="K15:L15"/>
    <mergeCell ref="D16:G16"/>
    <mergeCell ref="K16:L16"/>
    <mergeCell ref="D21:G21"/>
    <mergeCell ref="K21:L21"/>
    <mergeCell ref="D7:F7"/>
    <mergeCell ref="D8:F8"/>
    <mergeCell ref="D10:F10"/>
    <mergeCell ref="O11:Z11"/>
    <mergeCell ref="D13:G13"/>
    <mergeCell ref="K13:L13"/>
    <mergeCell ref="P2:AA2"/>
    <mergeCell ref="K3:M3"/>
    <mergeCell ref="D4:F4"/>
    <mergeCell ref="G4:H4"/>
    <mergeCell ref="D5:F5"/>
    <mergeCell ref="D6:F6"/>
    <mergeCell ref="D9:F9"/>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34419-41D9-46E3-926D-296B60119BF7}">
  <sheetPr codeName="Sheet19"/>
  <dimension ref="A1:AM51"/>
  <sheetViews>
    <sheetView zoomScale="84" zoomScaleNormal="84" workbookViewId="0">
      <selection activeCell="G3" sqref="G3"/>
    </sheetView>
  </sheetViews>
  <sheetFormatPr defaultColWidth="8.85546875" defaultRowHeight="15" x14ac:dyDescent="0.25"/>
  <cols>
    <col min="1" max="1" width="30.42578125" customWidth="1"/>
    <col min="2" max="2" width="16.42578125" customWidth="1"/>
    <col min="3" max="3" width="15.85546875" customWidth="1"/>
    <col min="4" max="4" width="76.7109375" bestFit="1" customWidth="1"/>
    <col min="5" max="14" width="15.85546875" customWidth="1"/>
    <col min="15" max="15" width="11.85546875" customWidth="1"/>
  </cols>
  <sheetData>
    <row r="1" spans="1:39" ht="20.25" x14ac:dyDescent="0.3">
      <c r="A1" s="700" t="s">
        <v>564</v>
      </c>
      <c r="B1" s="700"/>
      <c r="C1" s="268" t="s">
        <v>149</v>
      </c>
      <c r="D1" s="7"/>
      <c r="E1" s="7"/>
      <c r="F1" s="7"/>
    </row>
    <row r="2" spans="1:39" ht="20.25" x14ac:dyDescent="0.3">
      <c r="C2" s="267" t="s">
        <v>5</v>
      </c>
      <c r="D2" s="158"/>
      <c r="E2" s="158"/>
      <c r="F2" s="158"/>
    </row>
    <row r="3" spans="1:39" ht="18" x14ac:dyDescent="0.25">
      <c r="A3" s="226"/>
      <c r="B3" s="226"/>
      <c r="C3" s="226"/>
      <c r="D3" s="226"/>
    </row>
    <row r="4" spans="1:39" ht="18.75" x14ac:dyDescent="0.3">
      <c r="A4" s="43" t="s">
        <v>6</v>
      </c>
      <c r="B4" s="57"/>
      <c r="C4" s="226"/>
    </row>
    <row r="5" spans="1:39" ht="18.75" x14ac:dyDescent="0.3">
      <c r="A5" s="43" t="s">
        <v>565</v>
      </c>
      <c r="B5" s="57"/>
      <c r="C5" s="226"/>
    </row>
    <row r="6" spans="1:39" ht="18" x14ac:dyDescent="0.3">
      <c r="A6" s="43" t="s">
        <v>8</v>
      </c>
      <c r="B6" s="57"/>
      <c r="C6" s="24" t="s">
        <v>835</v>
      </c>
      <c r="E6" s="24"/>
      <c r="F6" s="20"/>
      <c r="G6" s="3"/>
      <c r="H6" s="3"/>
      <c r="I6" s="78"/>
      <c r="J6" s="3"/>
      <c r="K6" s="3"/>
      <c r="L6" s="3"/>
      <c r="M6" s="3"/>
      <c r="N6" s="3"/>
      <c r="O6" s="3"/>
      <c r="P6" s="3"/>
    </row>
    <row r="7" spans="1:39" ht="18.75" x14ac:dyDescent="0.3">
      <c r="A7" s="226"/>
      <c r="B7" s="4"/>
      <c r="C7" s="28"/>
      <c r="D7" s="24"/>
      <c r="E7" s="24"/>
      <c r="F7" s="20"/>
      <c r="G7" s="3"/>
      <c r="H7" s="3"/>
      <c r="I7" s="78"/>
      <c r="J7" s="3"/>
      <c r="K7" s="3"/>
      <c r="L7" s="3"/>
      <c r="M7" s="3"/>
      <c r="N7" s="3"/>
      <c r="O7" s="3"/>
      <c r="P7" s="3"/>
    </row>
    <row r="8" spans="1:39" ht="16.5" x14ac:dyDescent="0.3">
      <c r="A8" s="211" t="s">
        <v>801</v>
      </c>
      <c r="B8" s="211"/>
      <c r="C8" s="211"/>
      <c r="D8" s="219"/>
      <c r="E8" s="298" t="s">
        <v>881</v>
      </c>
      <c r="F8" s="298"/>
      <c r="G8" s="298"/>
      <c r="H8" s="298"/>
      <c r="I8" s="298"/>
      <c r="J8" s="298"/>
      <c r="K8" s="298"/>
      <c r="L8" s="298"/>
      <c r="M8" s="22"/>
      <c r="N8" s="22"/>
      <c r="O8" s="12"/>
      <c r="P8" s="93"/>
      <c r="Q8" s="93"/>
      <c r="R8" s="93"/>
      <c r="S8" s="93"/>
      <c r="T8" s="93"/>
      <c r="U8" s="93"/>
      <c r="V8" s="93"/>
      <c r="W8" s="93"/>
      <c r="X8" s="26"/>
      <c r="Y8" s="26"/>
      <c r="Z8" s="26"/>
      <c r="AA8" s="12"/>
      <c r="AB8" s="12"/>
      <c r="AC8" s="27"/>
      <c r="AD8" s="3"/>
      <c r="AE8" s="3"/>
      <c r="AF8" s="11"/>
      <c r="AG8" s="11"/>
      <c r="AH8" s="11"/>
      <c r="AI8" s="11"/>
      <c r="AJ8" s="3"/>
      <c r="AK8" s="3"/>
      <c r="AL8" s="25"/>
      <c r="AM8" s="25"/>
    </row>
    <row r="9" spans="1:39" ht="18.75" x14ac:dyDescent="0.3">
      <c r="A9" s="226"/>
      <c r="B9" s="4"/>
      <c r="C9" s="28"/>
      <c r="D9" s="624"/>
      <c r="E9" s="624"/>
      <c r="F9" s="624"/>
      <c r="G9" s="3"/>
      <c r="H9" s="3"/>
      <c r="I9" s="78"/>
      <c r="J9" s="3"/>
      <c r="K9" s="3"/>
      <c r="L9" s="3"/>
      <c r="M9" s="93"/>
      <c r="N9" s="93"/>
      <c r="O9" s="12"/>
      <c r="P9" s="93"/>
      <c r="Q9" s="93"/>
      <c r="R9" s="93"/>
      <c r="S9" s="93"/>
      <c r="T9" s="93"/>
      <c r="U9" s="93"/>
      <c r="V9" s="93"/>
      <c r="W9" s="93"/>
      <c r="X9" s="12"/>
      <c r="Y9" s="12"/>
      <c r="Z9" s="12"/>
      <c r="AA9" s="12"/>
      <c r="AB9" s="12"/>
      <c r="AC9" s="27"/>
      <c r="AD9" s="3"/>
      <c r="AE9" s="3"/>
      <c r="AF9" s="11"/>
      <c r="AG9" s="11"/>
      <c r="AH9" s="11"/>
      <c r="AI9" s="11"/>
      <c r="AJ9" s="3"/>
      <c r="AK9" s="3"/>
    </row>
    <row r="10" spans="1:39" ht="18" x14ac:dyDescent="0.35">
      <c r="A10" s="703" t="s">
        <v>44</v>
      </c>
      <c r="B10" s="704"/>
      <c r="C10" s="406" t="s">
        <v>566</v>
      </c>
      <c r="D10" s="351" t="s">
        <v>370</v>
      </c>
      <c r="E10" s="351" t="s">
        <v>805</v>
      </c>
      <c r="F10" s="351" t="s">
        <v>370</v>
      </c>
      <c r="G10" s="3"/>
      <c r="H10" s="3"/>
      <c r="I10" s="78"/>
      <c r="J10" s="3"/>
      <c r="K10" s="3"/>
      <c r="L10" s="3"/>
      <c r="M10" s="3"/>
      <c r="N10" s="3"/>
      <c r="O10" s="3"/>
      <c r="P10" s="3"/>
    </row>
    <row r="11" spans="1:39" ht="16.5" x14ac:dyDescent="0.3">
      <c r="A11" s="692" t="s">
        <v>576</v>
      </c>
      <c r="B11" s="693"/>
      <c r="C11" s="229">
        <v>7.7</v>
      </c>
      <c r="D11" s="8" t="s">
        <v>969</v>
      </c>
      <c r="E11" s="229">
        <v>0.13500000000000001</v>
      </c>
      <c r="F11" s="8" t="s">
        <v>378</v>
      </c>
      <c r="G11" s="3"/>
      <c r="H11" s="3"/>
      <c r="I11" s="78"/>
      <c r="J11" s="3"/>
      <c r="K11" s="3"/>
      <c r="L11" s="3"/>
      <c r="M11" s="3"/>
      <c r="N11" s="3"/>
      <c r="O11" s="3"/>
      <c r="P11" s="3"/>
    </row>
    <row r="12" spans="1:39" ht="16.5" x14ac:dyDescent="0.3">
      <c r="A12" s="692"/>
      <c r="B12" s="693"/>
      <c r="C12" s="229"/>
      <c r="D12" s="232"/>
      <c r="E12" s="229"/>
      <c r="F12" s="233"/>
      <c r="G12" s="3"/>
      <c r="H12" s="3"/>
      <c r="I12" s="78"/>
      <c r="J12" s="3"/>
      <c r="K12" s="3"/>
      <c r="L12" s="3"/>
      <c r="M12" s="3"/>
      <c r="N12" s="3"/>
      <c r="O12" s="3"/>
      <c r="P12" s="3"/>
    </row>
    <row r="13" spans="1:39" ht="16.5" x14ac:dyDescent="0.3">
      <c r="A13" s="692"/>
      <c r="B13" s="693"/>
      <c r="C13" s="229"/>
      <c r="D13" s="232"/>
      <c r="E13" s="229"/>
      <c r="F13" s="233"/>
      <c r="G13" s="3"/>
      <c r="H13" s="3"/>
      <c r="I13" s="78"/>
      <c r="J13" s="3"/>
      <c r="K13" s="3"/>
      <c r="L13" s="3"/>
      <c r="M13" s="3"/>
      <c r="N13" s="3"/>
      <c r="O13" s="3"/>
      <c r="P13" s="3"/>
    </row>
    <row r="14" spans="1:39" ht="16.5" x14ac:dyDescent="0.3">
      <c r="A14" s="6"/>
      <c r="B14" s="6"/>
      <c r="C14" s="12"/>
      <c r="D14" s="24"/>
      <c r="E14" s="12"/>
      <c r="F14" s="20"/>
      <c r="G14" s="3"/>
      <c r="H14" s="3"/>
      <c r="I14" s="78"/>
      <c r="J14" s="3"/>
      <c r="K14" s="3"/>
      <c r="L14" s="3"/>
      <c r="M14" s="3"/>
      <c r="N14" s="3"/>
      <c r="O14" s="3"/>
      <c r="P14" s="3"/>
    </row>
    <row r="15" spans="1:39" ht="16.5" x14ac:dyDescent="0.3">
      <c r="A15" s="4" t="s">
        <v>568</v>
      </c>
      <c r="B15" s="4"/>
      <c r="C15" s="4"/>
      <c r="D15" s="4"/>
      <c r="E15" s="4"/>
      <c r="F15" s="4"/>
      <c r="G15" s="4"/>
      <c r="H15" s="4"/>
      <c r="I15" s="4"/>
      <c r="J15" s="3"/>
      <c r="K15" s="3"/>
      <c r="L15" s="3"/>
      <c r="M15" s="3"/>
      <c r="N15" s="3"/>
      <c r="O15" s="12"/>
      <c r="P15" s="12"/>
    </row>
    <row r="16" spans="1:39" ht="16.5" x14ac:dyDescent="0.3">
      <c r="A16" s="4"/>
      <c r="B16" s="4"/>
      <c r="C16" s="4"/>
      <c r="D16" s="4"/>
      <c r="E16" s="4"/>
      <c r="F16" s="4"/>
      <c r="G16" s="3"/>
      <c r="H16" s="3"/>
      <c r="I16" s="4"/>
      <c r="J16" s="3"/>
      <c r="K16" s="3"/>
      <c r="L16" s="3"/>
      <c r="M16" s="3"/>
      <c r="N16" s="3"/>
      <c r="O16" s="12"/>
      <c r="P16" s="12"/>
    </row>
    <row r="17" spans="1:18" ht="16.5" x14ac:dyDescent="0.3">
      <c r="A17" s="303" t="s">
        <v>569</v>
      </c>
      <c r="B17" s="303"/>
      <c r="C17" s="303"/>
      <c r="D17" s="219"/>
      <c r="E17" s="219"/>
      <c r="F17" s="219"/>
      <c r="G17" s="219"/>
      <c r="H17" s="212" t="s">
        <v>882</v>
      </c>
      <c r="I17" s="212"/>
      <c r="J17" s="212"/>
      <c r="K17" s="212"/>
      <c r="L17" s="212"/>
      <c r="M17" s="212"/>
      <c r="N17" s="212"/>
      <c r="O17" s="12"/>
      <c r="P17" s="12"/>
      <c r="Q17" s="12"/>
      <c r="R17" s="12"/>
    </row>
    <row r="18" spans="1:18" ht="16.5" x14ac:dyDescent="0.3">
      <c r="A18" s="703" t="s">
        <v>44</v>
      </c>
      <c r="B18" s="704"/>
      <c r="C18" s="338" t="s">
        <v>103</v>
      </c>
      <c r="D18" s="342" t="s">
        <v>68</v>
      </c>
      <c r="E18" s="343" t="s">
        <v>69</v>
      </c>
      <c r="F18" s="342" t="s">
        <v>70</v>
      </c>
      <c r="G18" s="342" t="s">
        <v>71</v>
      </c>
      <c r="H18" s="342" t="s">
        <v>72</v>
      </c>
      <c r="I18" s="342" t="s">
        <v>73</v>
      </c>
      <c r="J18" s="342" t="s">
        <v>74</v>
      </c>
      <c r="K18" s="342" t="s">
        <v>75</v>
      </c>
      <c r="L18" s="342" t="s">
        <v>76</v>
      </c>
      <c r="M18" s="342" t="s">
        <v>77</v>
      </c>
      <c r="N18" s="342" t="s">
        <v>78</v>
      </c>
      <c r="O18" s="12"/>
      <c r="P18" s="12"/>
    </row>
    <row r="19" spans="1:18" ht="16.5" x14ac:dyDescent="0.3">
      <c r="A19" s="707"/>
      <c r="B19" s="708"/>
      <c r="C19" s="405" t="s">
        <v>80</v>
      </c>
      <c r="D19" s="348" t="s">
        <v>81</v>
      </c>
      <c r="E19" s="348" t="s">
        <v>133</v>
      </c>
      <c r="F19" s="348" t="s">
        <v>134</v>
      </c>
      <c r="G19" s="348" t="s">
        <v>84</v>
      </c>
      <c r="H19" s="348" t="s">
        <v>85</v>
      </c>
      <c r="I19" s="348" t="s">
        <v>86</v>
      </c>
      <c r="J19" s="348" t="s">
        <v>87</v>
      </c>
      <c r="K19" s="348" t="s">
        <v>88</v>
      </c>
      <c r="L19" s="348" t="s">
        <v>89</v>
      </c>
      <c r="M19" s="348" t="s">
        <v>90</v>
      </c>
      <c r="N19" s="348" t="s">
        <v>91</v>
      </c>
      <c r="O19" s="4" t="s">
        <v>370</v>
      </c>
      <c r="P19" s="12"/>
    </row>
    <row r="20" spans="1:18" ht="16.5" x14ac:dyDescent="0.3">
      <c r="A20" s="701" t="str">
        <f>IF($A$11="","",(A11))</f>
        <v>Acetabularia caliculus</v>
      </c>
      <c r="B20" s="702"/>
      <c r="C20" s="231">
        <v>0</v>
      </c>
      <c r="D20" s="231">
        <v>5.2843969314323724E-3</v>
      </c>
      <c r="E20" s="231">
        <v>1.7623606433559525E-2</v>
      </c>
      <c r="F20" s="231">
        <v>3.7238312824969373E-2</v>
      </c>
      <c r="G20" s="231">
        <v>9.6071925423857479E-2</v>
      </c>
      <c r="H20" s="231">
        <v>6.8552616535803301E-2</v>
      </c>
      <c r="I20" s="231">
        <v>9.9567830060019541E-2</v>
      </c>
      <c r="J20" s="231">
        <v>7.7408822607757666E-2</v>
      </c>
      <c r="K20" s="231">
        <v>0.59825248918260077</v>
      </c>
      <c r="L20" s="231">
        <v>0</v>
      </c>
      <c r="M20" s="231">
        <v>0</v>
      </c>
      <c r="N20" s="231">
        <v>0</v>
      </c>
      <c r="O20" s="8" t="s">
        <v>378</v>
      </c>
      <c r="P20" s="98"/>
    </row>
    <row r="21" spans="1:18" ht="16.5" x14ac:dyDescent="0.3">
      <c r="A21" s="701" t="str">
        <f>IF($A$12="","",(A12))</f>
        <v/>
      </c>
      <c r="B21" s="702"/>
      <c r="C21" s="231"/>
      <c r="D21" s="231"/>
      <c r="E21" s="231"/>
      <c r="F21" s="231"/>
      <c r="G21" s="231"/>
      <c r="H21" s="231"/>
      <c r="I21" s="231"/>
      <c r="J21" s="231"/>
      <c r="K21" s="231"/>
      <c r="L21" s="231"/>
      <c r="M21" s="231"/>
      <c r="N21" s="231"/>
      <c r="O21" s="12"/>
      <c r="P21" s="12"/>
    </row>
    <row r="22" spans="1:18" ht="16.5" x14ac:dyDescent="0.3">
      <c r="A22" s="701" t="str">
        <f>IF($A$12="","",(A13))</f>
        <v/>
      </c>
      <c r="B22" s="702"/>
      <c r="C22" s="231"/>
      <c r="D22" s="231"/>
      <c r="E22" s="231"/>
      <c r="F22" s="231"/>
      <c r="G22" s="231"/>
      <c r="H22" s="231"/>
      <c r="I22" s="231"/>
      <c r="J22" s="231"/>
      <c r="K22" s="231"/>
      <c r="L22" s="231"/>
      <c r="M22" s="231"/>
      <c r="N22" s="231"/>
      <c r="O22" s="12"/>
      <c r="P22" s="12"/>
    </row>
    <row r="23" spans="1:18" ht="16.5" x14ac:dyDescent="0.3">
      <c r="A23" s="23"/>
      <c r="B23" s="23"/>
      <c r="C23" s="36"/>
      <c r="D23" s="36"/>
      <c r="E23" s="36"/>
      <c r="F23" s="36"/>
      <c r="G23" s="36"/>
      <c r="H23" s="36"/>
      <c r="I23" s="36"/>
      <c r="J23" s="36"/>
      <c r="K23" s="36"/>
      <c r="L23" s="36"/>
      <c r="M23" s="36"/>
      <c r="N23" s="36"/>
      <c r="O23" s="12"/>
      <c r="P23" s="12"/>
    </row>
    <row r="24" spans="1:18" ht="16.5" x14ac:dyDescent="0.3">
      <c r="A24" s="23"/>
      <c r="B24" s="23"/>
      <c r="C24" s="36"/>
      <c r="D24" s="36"/>
      <c r="E24" s="36"/>
      <c r="F24" s="36"/>
      <c r="G24" s="36"/>
      <c r="H24" s="36"/>
      <c r="I24" s="36"/>
      <c r="J24" s="36"/>
      <c r="K24" s="36"/>
      <c r="L24" s="36"/>
      <c r="M24" s="36"/>
      <c r="N24" s="36"/>
      <c r="O24" s="12"/>
      <c r="P24" s="12"/>
    </row>
    <row r="25" spans="1:18" ht="16.5" x14ac:dyDescent="0.3">
      <c r="A25" s="211" t="s">
        <v>806</v>
      </c>
      <c r="B25" s="23"/>
      <c r="C25" s="36"/>
      <c r="D25" s="36"/>
      <c r="E25" s="36"/>
      <c r="F25" s="36"/>
      <c r="G25" s="36"/>
      <c r="H25" s="36"/>
      <c r="I25" s="36"/>
      <c r="J25" s="36"/>
      <c r="K25" s="36"/>
      <c r="L25" s="36"/>
      <c r="M25" s="36"/>
      <c r="N25" s="36"/>
      <c r="O25" s="12"/>
      <c r="P25" s="12"/>
    </row>
    <row r="26" spans="1:18" ht="18.75" x14ac:dyDescent="0.3">
      <c r="A26" s="226"/>
      <c r="B26" s="84" t="s">
        <v>807</v>
      </c>
      <c r="C26" s="84"/>
      <c r="D26" s="3"/>
      <c r="E26" s="78"/>
      <c r="F26" s="3"/>
      <c r="G26" s="3"/>
      <c r="H26" s="3"/>
      <c r="I26" s="3"/>
      <c r="J26" s="3"/>
      <c r="K26" s="3"/>
      <c r="L26" s="3"/>
      <c r="M26" s="28"/>
      <c r="N26" s="28"/>
      <c r="O26" s="28"/>
      <c r="P26" s="28"/>
    </row>
    <row r="27" spans="1:18" ht="16.5" x14ac:dyDescent="0.3">
      <c r="A27" s="346" t="s">
        <v>44</v>
      </c>
      <c r="B27" s="404" t="s">
        <v>107</v>
      </c>
      <c r="C27" s="404" t="s">
        <v>108</v>
      </c>
      <c r="D27" s="404" t="s">
        <v>109</v>
      </c>
      <c r="E27" s="404" t="s">
        <v>110</v>
      </c>
      <c r="F27" s="404" t="s">
        <v>111</v>
      </c>
      <c r="G27" s="404" t="s">
        <v>112</v>
      </c>
      <c r="H27" s="404" t="s">
        <v>113</v>
      </c>
      <c r="I27" s="404" t="s">
        <v>114</v>
      </c>
      <c r="J27" s="404" t="s">
        <v>115</v>
      </c>
      <c r="K27" s="404" t="s">
        <v>116</v>
      </c>
      <c r="L27" s="404" t="s">
        <v>570</v>
      </c>
      <c r="M27" s="374" t="s">
        <v>808</v>
      </c>
      <c r="N27" s="28"/>
      <c r="O27" s="28"/>
      <c r="P27" s="28"/>
      <c r="Q27" s="28"/>
    </row>
    <row r="28" spans="1:18" ht="16.5" x14ac:dyDescent="0.3">
      <c r="A28" s="232" t="str">
        <f>IF($A$11="","",(A11))</f>
        <v>Acetabularia caliculus</v>
      </c>
      <c r="B28" s="227"/>
      <c r="C28" s="227"/>
      <c r="D28" s="227"/>
      <c r="E28" s="228"/>
      <c r="F28" s="227"/>
      <c r="G28" s="227"/>
      <c r="H28" s="227"/>
      <c r="I28" s="227"/>
      <c r="J28" s="227"/>
      <c r="K28" s="227"/>
      <c r="L28" s="115" t="e">
        <f>IF($A$11="","",(AVERAGE(B28:K28)))</f>
        <v>#DIV/0!</v>
      </c>
      <c r="M28" s="39" t="e">
        <f>IF($A$11="","",(L28*(1/$B$6)))</f>
        <v>#DIV/0!</v>
      </c>
      <c r="N28" s="28"/>
      <c r="O28" s="28"/>
      <c r="P28" s="28"/>
      <c r="Q28" s="28"/>
    </row>
    <row r="29" spans="1:18" ht="16.5" x14ac:dyDescent="0.3">
      <c r="A29" s="232" t="str">
        <f>IF($A$12="","",(A12))</f>
        <v/>
      </c>
      <c r="B29" s="227"/>
      <c r="C29" s="227"/>
      <c r="D29" s="227"/>
      <c r="E29" s="228"/>
      <c r="F29" s="227"/>
      <c r="G29" s="227"/>
      <c r="H29" s="227"/>
      <c r="I29" s="227"/>
      <c r="J29" s="227"/>
      <c r="K29" s="227"/>
      <c r="L29" s="115" t="str">
        <f>IF($A$12="","",(AVERAGE(B29:K29)))</f>
        <v/>
      </c>
      <c r="M29" s="39" t="str">
        <f>IF($A$12="","",(L29*(1/$B$6)))</f>
        <v/>
      </c>
      <c r="N29" s="28"/>
      <c r="O29" s="28"/>
      <c r="P29" s="28"/>
      <c r="Q29" s="28"/>
    </row>
    <row r="30" spans="1:18" ht="16.5" x14ac:dyDescent="0.3">
      <c r="A30" s="232" t="str">
        <f>IF($A$13="","",(A13))</f>
        <v/>
      </c>
      <c r="B30" s="227"/>
      <c r="C30" s="227"/>
      <c r="D30" s="227"/>
      <c r="E30" s="228"/>
      <c r="F30" s="227"/>
      <c r="G30" s="227"/>
      <c r="H30" s="227"/>
      <c r="I30" s="227"/>
      <c r="J30" s="227"/>
      <c r="K30" s="227"/>
      <c r="L30" s="115" t="str">
        <f>IF($A$13="","",(AVERAGE(B30:K30)))</f>
        <v/>
      </c>
      <c r="M30" s="39" t="str">
        <f>IF($A$13="","",(L30*(1/$B$6)))</f>
        <v/>
      </c>
      <c r="N30" s="28"/>
      <c r="O30" s="28"/>
      <c r="P30" s="28"/>
      <c r="Q30" s="28"/>
    </row>
    <row r="31" spans="1:18" ht="16.5" x14ac:dyDescent="0.3">
      <c r="A31" s="4"/>
      <c r="B31" s="4"/>
      <c r="C31" s="4"/>
      <c r="D31" s="4"/>
      <c r="E31" s="4"/>
      <c r="F31" s="4"/>
      <c r="G31" s="4"/>
      <c r="H31" s="4"/>
      <c r="I31" s="4"/>
      <c r="J31" s="4"/>
      <c r="K31" s="4"/>
      <c r="L31" s="28"/>
      <c r="M31" s="28"/>
      <c r="N31" s="28"/>
      <c r="O31" s="28"/>
      <c r="P31" s="28"/>
    </row>
    <row r="32" spans="1:18" ht="16.5" x14ac:dyDescent="0.3">
      <c r="A32" s="42"/>
      <c r="B32" s="42"/>
      <c r="C32" s="44"/>
      <c r="D32" s="3"/>
      <c r="E32" s="12"/>
      <c r="F32" s="20"/>
      <c r="G32" s="3"/>
      <c r="H32" s="3"/>
      <c r="I32" s="3"/>
      <c r="J32" s="3"/>
      <c r="K32" s="3"/>
      <c r="L32" s="3"/>
      <c r="M32" s="3"/>
      <c r="N32" s="3"/>
      <c r="O32" s="3"/>
      <c r="P32" s="3"/>
    </row>
    <row r="33" spans="1:16" ht="16.5" x14ac:dyDescent="0.3">
      <c r="A33" s="565" t="s">
        <v>571</v>
      </c>
      <c r="B33" s="565"/>
      <c r="C33" s="43"/>
      <c r="D33" s="4"/>
      <c r="E33" s="12"/>
      <c r="F33" s="12"/>
      <c r="G33" s="12"/>
      <c r="H33" s="12"/>
      <c r="I33" s="12"/>
      <c r="J33" s="12"/>
      <c r="K33" s="12"/>
      <c r="L33" s="12"/>
      <c r="M33" s="12"/>
      <c r="N33" s="12"/>
      <c r="O33" s="12"/>
      <c r="P33" s="12"/>
    </row>
    <row r="34" spans="1:16" ht="16.5" x14ac:dyDescent="0.3">
      <c r="A34" s="4"/>
      <c r="B34" s="4"/>
      <c r="C34" s="4"/>
      <c r="D34" s="4"/>
      <c r="E34" s="12"/>
      <c r="F34" s="12"/>
      <c r="G34" s="12"/>
      <c r="H34" s="12"/>
      <c r="I34" s="12"/>
      <c r="J34" s="12"/>
      <c r="K34" s="12"/>
      <c r="L34" s="12"/>
      <c r="M34" s="12"/>
      <c r="N34" s="12"/>
      <c r="O34" s="12"/>
      <c r="P34" s="12"/>
    </row>
    <row r="35" spans="1:16" ht="18.75" x14ac:dyDescent="0.35">
      <c r="A35" s="705" t="s">
        <v>572</v>
      </c>
      <c r="B35" s="706"/>
      <c r="C35" s="342" t="s">
        <v>845</v>
      </c>
      <c r="D35" s="4"/>
      <c r="F35" s="12"/>
      <c r="G35" s="12"/>
      <c r="H35" s="12"/>
      <c r="I35" s="12"/>
      <c r="J35" s="12"/>
      <c r="K35" s="12"/>
      <c r="L35" s="12"/>
      <c r="M35" s="12"/>
      <c r="N35" s="12"/>
      <c r="O35" s="12"/>
      <c r="P35" s="12"/>
    </row>
    <row r="36" spans="1:16" ht="16.5" x14ac:dyDescent="0.3">
      <c r="A36" s="701" t="str">
        <f>IF($A$11="","",(A11))</f>
        <v>Acetabularia caliculus</v>
      </c>
      <c r="B36" s="702"/>
      <c r="C36" s="234" t="e">
        <f>IF($M$28="",0,(M28*C11)*(E11/1000))</f>
        <v>#DIV/0!</v>
      </c>
      <c r="D36" s="3"/>
      <c r="F36" s="12"/>
      <c r="G36" s="12"/>
      <c r="H36" s="12"/>
      <c r="I36" s="12"/>
      <c r="J36" s="12"/>
      <c r="K36" s="12"/>
      <c r="L36" s="12"/>
      <c r="M36" s="12"/>
      <c r="N36" s="12"/>
      <c r="O36" s="12"/>
      <c r="P36" s="12"/>
    </row>
    <row r="37" spans="1:16" ht="16.5" x14ac:dyDescent="0.3">
      <c r="A37" s="701" t="str">
        <f>IF($A$12="","",(A12))</f>
        <v/>
      </c>
      <c r="B37" s="702"/>
      <c r="C37" s="234">
        <f>IF($M$29="",0,(M29*C12)*(E12/1000))</f>
        <v>0</v>
      </c>
      <c r="D37" s="3"/>
      <c r="F37" s="12"/>
      <c r="G37" s="12"/>
      <c r="H37" s="12"/>
      <c r="I37" s="12"/>
      <c r="J37" s="12"/>
      <c r="K37" s="12"/>
      <c r="L37" s="12"/>
      <c r="M37" s="12"/>
      <c r="N37" s="12"/>
      <c r="O37" s="12"/>
      <c r="P37" s="12"/>
    </row>
    <row r="38" spans="1:16" ht="16.5" x14ac:dyDescent="0.3">
      <c r="A38" s="701" t="str">
        <f>IF($A$13="","",(A13))</f>
        <v/>
      </c>
      <c r="B38" s="702"/>
      <c r="C38" s="234">
        <f>IF($M$30="",0,(M30*C13)*(E13/1000))</f>
        <v>0</v>
      </c>
      <c r="D38" s="3"/>
      <c r="F38" s="3"/>
      <c r="G38" s="3"/>
      <c r="H38" s="3"/>
      <c r="I38" s="3"/>
      <c r="J38" s="3"/>
      <c r="K38" s="3"/>
      <c r="L38" s="3"/>
      <c r="M38" s="3"/>
      <c r="N38" s="3"/>
      <c r="O38" s="3"/>
      <c r="P38" s="3"/>
    </row>
    <row r="39" spans="1:16" ht="16.5" x14ac:dyDescent="0.3">
      <c r="B39" s="4" t="s">
        <v>104</v>
      </c>
      <c r="C39" s="34" t="e">
        <f>SUM(C36:C38)</f>
        <v>#DIV/0!</v>
      </c>
      <c r="D39" s="12"/>
      <c r="E39" s="12"/>
      <c r="F39" s="12"/>
      <c r="G39" s="12"/>
      <c r="H39" s="12"/>
      <c r="I39" s="12"/>
      <c r="J39" s="12"/>
      <c r="K39" s="12"/>
      <c r="L39" s="12"/>
      <c r="M39" s="12"/>
      <c r="N39" s="12"/>
      <c r="O39" s="12"/>
      <c r="P39" s="26"/>
    </row>
    <row r="40" spans="1:16" ht="16.5" x14ac:dyDescent="0.3">
      <c r="O40" s="12"/>
      <c r="P40" s="12"/>
    </row>
    <row r="41" spans="1:16" ht="16.5" x14ac:dyDescent="0.3">
      <c r="A41" s="565" t="s">
        <v>574</v>
      </c>
      <c r="B41" s="565"/>
      <c r="C41" s="565"/>
      <c r="D41" s="565"/>
      <c r="E41" s="565"/>
      <c r="O41" s="12"/>
      <c r="P41" s="12"/>
    </row>
    <row r="42" spans="1:16" ht="16.5" x14ac:dyDescent="0.3">
      <c r="O42" s="12"/>
      <c r="P42" s="12"/>
    </row>
    <row r="43" spans="1:16" ht="16.5" x14ac:dyDescent="0.3">
      <c r="A43" s="703" t="s">
        <v>44</v>
      </c>
      <c r="B43" s="704"/>
      <c r="C43" s="342" t="s">
        <v>103</v>
      </c>
      <c r="D43" s="342" t="s">
        <v>68</v>
      </c>
      <c r="E43" s="343" t="s">
        <v>69</v>
      </c>
      <c r="F43" s="342" t="s">
        <v>70</v>
      </c>
      <c r="G43" s="342" t="s">
        <v>71</v>
      </c>
      <c r="H43" s="342" t="s">
        <v>72</v>
      </c>
      <c r="I43" s="342" t="s">
        <v>73</v>
      </c>
      <c r="J43" s="342" t="s">
        <v>74</v>
      </c>
      <c r="K43" s="342" t="s">
        <v>75</v>
      </c>
      <c r="L43" s="342" t="s">
        <v>76</v>
      </c>
      <c r="M43" s="342" t="s">
        <v>77</v>
      </c>
      <c r="N43" s="342" t="s">
        <v>78</v>
      </c>
      <c r="O43" s="12"/>
      <c r="P43" s="12"/>
    </row>
    <row r="44" spans="1:16" ht="16.5" x14ac:dyDescent="0.3">
      <c r="A44" s="707"/>
      <c r="B44" s="708"/>
      <c r="C44" s="348" t="s">
        <v>80</v>
      </c>
      <c r="D44" s="348" t="s">
        <v>81</v>
      </c>
      <c r="E44" s="348" t="s">
        <v>133</v>
      </c>
      <c r="F44" s="348" t="s">
        <v>134</v>
      </c>
      <c r="G44" s="348" t="s">
        <v>84</v>
      </c>
      <c r="H44" s="348" t="s">
        <v>85</v>
      </c>
      <c r="I44" s="348" t="s">
        <v>86</v>
      </c>
      <c r="J44" s="348" t="s">
        <v>87</v>
      </c>
      <c r="K44" s="348" t="s">
        <v>88</v>
      </c>
      <c r="L44" s="348" t="s">
        <v>89</v>
      </c>
      <c r="M44" s="348" t="s">
        <v>90</v>
      </c>
      <c r="N44" s="348" t="s">
        <v>91</v>
      </c>
      <c r="O44" s="12"/>
      <c r="P44" s="12"/>
    </row>
    <row r="45" spans="1:16" ht="16.5" x14ac:dyDescent="0.3">
      <c r="A45" s="701" t="str">
        <f>IF($A$11="","",(A28))</f>
        <v>Acetabularia caliculus</v>
      </c>
      <c r="B45" s="702"/>
      <c r="C45" s="19" t="e">
        <f>$C$36*C20</f>
        <v>#DIV/0!</v>
      </c>
      <c r="D45" s="19" t="e">
        <f t="shared" ref="D45:N45" si="0">$C$36*D20</f>
        <v>#DIV/0!</v>
      </c>
      <c r="E45" s="19" t="e">
        <f t="shared" si="0"/>
        <v>#DIV/0!</v>
      </c>
      <c r="F45" s="19" t="e">
        <f t="shared" si="0"/>
        <v>#DIV/0!</v>
      </c>
      <c r="G45" s="19" t="e">
        <f t="shared" si="0"/>
        <v>#DIV/0!</v>
      </c>
      <c r="H45" s="19" t="e">
        <f t="shared" si="0"/>
        <v>#DIV/0!</v>
      </c>
      <c r="I45" s="19" t="e">
        <f t="shared" si="0"/>
        <v>#DIV/0!</v>
      </c>
      <c r="J45" s="19" t="e">
        <f t="shared" si="0"/>
        <v>#DIV/0!</v>
      </c>
      <c r="K45" s="19" t="e">
        <f t="shared" si="0"/>
        <v>#DIV/0!</v>
      </c>
      <c r="L45" s="19" t="e">
        <f t="shared" si="0"/>
        <v>#DIV/0!</v>
      </c>
      <c r="M45" s="19" t="e">
        <f t="shared" si="0"/>
        <v>#DIV/0!</v>
      </c>
      <c r="N45" s="19" t="e">
        <f t="shared" si="0"/>
        <v>#DIV/0!</v>
      </c>
      <c r="O45" s="12"/>
      <c r="P45" s="12"/>
    </row>
    <row r="46" spans="1:16" ht="16.5" x14ac:dyDescent="0.3">
      <c r="A46" s="701" t="str">
        <f>IF($A$12="","",(A29))</f>
        <v/>
      </c>
      <c r="B46" s="702"/>
      <c r="C46" s="19">
        <f>$C$37*C21</f>
        <v>0</v>
      </c>
      <c r="D46" s="19">
        <f t="shared" ref="D46:N46" si="1">$C$37*D21</f>
        <v>0</v>
      </c>
      <c r="E46" s="19">
        <f t="shared" si="1"/>
        <v>0</v>
      </c>
      <c r="F46" s="19">
        <f t="shared" si="1"/>
        <v>0</v>
      </c>
      <c r="G46" s="19">
        <f t="shared" si="1"/>
        <v>0</v>
      </c>
      <c r="H46" s="19">
        <f t="shared" si="1"/>
        <v>0</v>
      </c>
      <c r="I46" s="19">
        <f t="shared" si="1"/>
        <v>0</v>
      </c>
      <c r="J46" s="19">
        <f t="shared" si="1"/>
        <v>0</v>
      </c>
      <c r="K46" s="19">
        <f t="shared" si="1"/>
        <v>0</v>
      </c>
      <c r="L46" s="19">
        <f t="shared" si="1"/>
        <v>0</v>
      </c>
      <c r="M46" s="19">
        <f t="shared" si="1"/>
        <v>0</v>
      </c>
      <c r="N46" s="19">
        <f t="shared" si="1"/>
        <v>0</v>
      </c>
      <c r="O46" s="12"/>
      <c r="P46" s="12"/>
    </row>
    <row r="47" spans="1:16" ht="16.5" x14ac:dyDescent="0.3">
      <c r="A47" s="701" t="str">
        <f>IF($A$13="","",(A30))</f>
        <v/>
      </c>
      <c r="B47" s="702"/>
      <c r="C47" s="19">
        <f>$C$38*C22</f>
        <v>0</v>
      </c>
      <c r="D47" s="19">
        <f t="shared" ref="D47:N47" si="2">$C$38*D22</f>
        <v>0</v>
      </c>
      <c r="E47" s="19">
        <f t="shared" si="2"/>
        <v>0</v>
      </c>
      <c r="F47" s="19">
        <f t="shared" si="2"/>
        <v>0</v>
      </c>
      <c r="G47" s="19">
        <f t="shared" si="2"/>
        <v>0</v>
      </c>
      <c r="H47" s="19">
        <f t="shared" si="2"/>
        <v>0</v>
      </c>
      <c r="I47" s="19">
        <f t="shared" si="2"/>
        <v>0</v>
      </c>
      <c r="J47" s="19">
        <f t="shared" si="2"/>
        <v>0</v>
      </c>
      <c r="K47" s="19">
        <f t="shared" si="2"/>
        <v>0</v>
      </c>
      <c r="L47" s="19">
        <f t="shared" si="2"/>
        <v>0</v>
      </c>
      <c r="M47" s="19">
        <f t="shared" si="2"/>
        <v>0</v>
      </c>
      <c r="N47" s="19">
        <f t="shared" si="2"/>
        <v>0</v>
      </c>
      <c r="O47" s="12"/>
      <c r="P47" s="12"/>
    </row>
    <row r="48" spans="1:16" ht="16.5" x14ac:dyDescent="0.3">
      <c r="A48" s="371"/>
      <c r="B48" s="372"/>
      <c r="C48" s="371"/>
      <c r="D48" s="371"/>
      <c r="E48" s="371"/>
      <c r="F48" s="371"/>
      <c r="G48" s="371"/>
      <c r="H48" s="371"/>
      <c r="I48" s="371"/>
      <c r="J48" s="371"/>
      <c r="K48" s="371"/>
      <c r="L48" s="371"/>
      <c r="M48" s="371"/>
      <c r="N48" s="371"/>
      <c r="O48" s="371"/>
      <c r="P48" s="371"/>
    </row>
    <row r="49" spans="1:16" ht="16.5" x14ac:dyDescent="0.3">
      <c r="A49" s="371"/>
      <c r="B49" s="372"/>
      <c r="C49" s="371"/>
      <c r="D49" s="371"/>
      <c r="E49" s="371"/>
      <c r="F49" s="371"/>
      <c r="G49" s="371"/>
      <c r="H49" s="371"/>
      <c r="I49" s="371"/>
      <c r="J49" s="371"/>
      <c r="K49" s="371"/>
      <c r="L49" s="371"/>
      <c r="M49" s="371"/>
      <c r="N49" s="371"/>
      <c r="O49" s="28" t="s">
        <v>104</v>
      </c>
      <c r="P49" s="371"/>
    </row>
    <row r="50" spans="1:16" ht="16.5" x14ac:dyDescent="0.25">
      <c r="A50" s="709" t="s">
        <v>556</v>
      </c>
      <c r="B50" s="710"/>
      <c r="C50" s="230" t="str">
        <f>IF($B$4 = "", "", SUM(C45:C47))</f>
        <v/>
      </c>
      <c r="D50" s="230" t="str">
        <f t="shared" ref="D50:N50" si="3">IF($B$4 = "", "", SUM(D45:D47))</f>
        <v/>
      </c>
      <c r="E50" s="230" t="str">
        <f t="shared" si="3"/>
        <v/>
      </c>
      <c r="F50" s="230" t="str">
        <f t="shared" si="3"/>
        <v/>
      </c>
      <c r="G50" s="230" t="str">
        <f t="shared" si="3"/>
        <v/>
      </c>
      <c r="H50" s="230" t="str">
        <f t="shared" si="3"/>
        <v/>
      </c>
      <c r="I50" s="230" t="str">
        <f t="shared" si="3"/>
        <v/>
      </c>
      <c r="J50" s="230" t="str">
        <f t="shared" si="3"/>
        <v/>
      </c>
      <c r="K50" s="230" t="str">
        <f t="shared" si="3"/>
        <v/>
      </c>
      <c r="L50" s="230" t="str">
        <f t="shared" si="3"/>
        <v/>
      </c>
      <c r="M50" s="230" t="str">
        <f t="shared" si="3"/>
        <v/>
      </c>
      <c r="N50" s="230" t="str">
        <f t="shared" si="3"/>
        <v/>
      </c>
      <c r="O50" s="225">
        <f>SUM(C50:N50)</f>
        <v>0</v>
      </c>
      <c r="P50" s="50"/>
    </row>
    <row r="51" spans="1:16" ht="16.5" x14ac:dyDescent="0.3">
      <c r="A51" s="45"/>
      <c r="B51" s="45"/>
      <c r="C51" s="653"/>
      <c r="D51" s="653"/>
      <c r="E51" s="653"/>
      <c r="F51" s="653"/>
      <c r="G51" s="653"/>
      <c r="H51" s="12"/>
      <c r="I51" s="12"/>
      <c r="J51" s="12"/>
      <c r="K51" s="12"/>
      <c r="L51" s="12"/>
      <c r="M51" s="12"/>
      <c r="N51" s="12"/>
      <c r="O51" s="12"/>
      <c r="P51" s="12"/>
    </row>
  </sheetData>
  <mergeCells count="22">
    <mergeCell ref="A43:B44"/>
    <mergeCell ref="A50:B50"/>
    <mergeCell ref="C51:G51"/>
    <mergeCell ref="A45:B45"/>
    <mergeCell ref="A46:B46"/>
    <mergeCell ref="A47:B47"/>
    <mergeCell ref="A1:B1"/>
    <mergeCell ref="D9:F9"/>
    <mergeCell ref="A41:E41"/>
    <mergeCell ref="A33:B33"/>
    <mergeCell ref="A36:B36"/>
    <mergeCell ref="A37:B37"/>
    <mergeCell ref="A38:B38"/>
    <mergeCell ref="A10:B10"/>
    <mergeCell ref="A11:B11"/>
    <mergeCell ref="A21:B21"/>
    <mergeCell ref="A22:B22"/>
    <mergeCell ref="A35:B35"/>
    <mergeCell ref="A20:B20"/>
    <mergeCell ref="A12:B12"/>
    <mergeCell ref="A13:B13"/>
    <mergeCell ref="A18:B19"/>
  </mergeCells>
  <phoneticPr fontId="18"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6125B-78EC-40A3-93A9-015197CFC5DA}">
  <sheetPr codeName="Sheet20">
    <tabColor theme="0" tint="-0.249977111117893"/>
  </sheetPr>
  <dimension ref="A1:Z18"/>
  <sheetViews>
    <sheetView zoomScale="80" zoomScaleNormal="80" workbookViewId="0">
      <selection activeCell="I1" sqref="I1"/>
    </sheetView>
  </sheetViews>
  <sheetFormatPr defaultColWidth="8.85546875" defaultRowHeight="15" x14ac:dyDescent="0.25"/>
  <cols>
    <col min="1" max="1" width="27.140625" customWidth="1"/>
    <col min="2" max="2" width="21.28515625" customWidth="1"/>
    <col min="3" max="3" width="22.140625" customWidth="1"/>
    <col min="4" max="4" width="14.42578125" customWidth="1"/>
    <col min="8" max="8" width="26.140625" customWidth="1"/>
    <col min="10" max="10" width="17.7109375" customWidth="1"/>
    <col min="14" max="25" width="12.85546875" customWidth="1"/>
    <col min="26" max="30" width="25.85546875" customWidth="1"/>
  </cols>
  <sheetData>
    <row r="1" spans="1:26" ht="20.25" x14ac:dyDescent="0.3">
      <c r="A1" s="196" t="s">
        <v>575</v>
      </c>
    </row>
    <row r="3" spans="1:26" ht="16.5" x14ac:dyDescent="0.25">
      <c r="A3" s="48" t="s">
        <v>171</v>
      </c>
      <c r="B3" s="48" t="s">
        <v>172</v>
      </c>
      <c r="C3" s="48" t="s">
        <v>418</v>
      </c>
      <c r="D3" s="637" t="s">
        <v>175</v>
      </c>
      <c r="E3" s="677"/>
      <c r="F3" s="677"/>
      <c r="G3" s="711" t="s">
        <v>419</v>
      </c>
      <c r="H3" s="712"/>
      <c r="I3" s="45"/>
      <c r="J3" s="45"/>
      <c r="K3" s="73"/>
    </row>
    <row r="4" spans="1:26" ht="16.5" x14ac:dyDescent="0.3">
      <c r="A4" s="198" t="s">
        <v>576</v>
      </c>
      <c r="B4" s="199" t="s">
        <v>192</v>
      </c>
      <c r="C4" s="115"/>
      <c r="D4" s="684"/>
      <c r="E4" s="684"/>
      <c r="F4" s="684"/>
      <c r="G4" s="648"/>
      <c r="H4" s="650"/>
      <c r="I4" s="84" t="s">
        <v>577</v>
      </c>
      <c r="J4" s="200"/>
      <c r="K4" s="201"/>
    </row>
    <row r="5" spans="1:26" ht="16.5" x14ac:dyDescent="0.3">
      <c r="A5" s="198" t="s">
        <v>578</v>
      </c>
      <c r="B5" s="199" t="s">
        <v>192</v>
      </c>
      <c r="C5" s="206"/>
      <c r="D5" s="684"/>
      <c r="E5" s="684"/>
      <c r="F5" s="684"/>
      <c r="G5" s="648"/>
      <c r="H5" s="650"/>
      <c r="I5" s="84" t="s">
        <v>579</v>
      </c>
      <c r="J5" s="207"/>
      <c r="K5" s="202"/>
    </row>
    <row r="6" spans="1:26" ht="16.5" x14ac:dyDescent="0.3">
      <c r="A6" s="198" t="s">
        <v>580</v>
      </c>
      <c r="B6" s="199" t="s">
        <v>214</v>
      </c>
      <c r="C6" s="206"/>
      <c r="D6" s="684"/>
      <c r="E6" s="684"/>
      <c r="F6" s="684"/>
      <c r="G6" s="648"/>
      <c r="H6" s="650"/>
      <c r="I6" s="84" t="s">
        <v>581</v>
      </c>
      <c r="J6" s="200"/>
      <c r="K6" s="202"/>
    </row>
    <row r="7" spans="1:26" ht="16.5" x14ac:dyDescent="0.3">
      <c r="A7" s="198" t="s">
        <v>582</v>
      </c>
      <c r="B7" s="199" t="s">
        <v>214</v>
      </c>
      <c r="C7" s="115"/>
      <c r="D7" s="684"/>
      <c r="E7" s="684"/>
      <c r="F7" s="684"/>
      <c r="G7" s="648"/>
      <c r="H7" s="650"/>
      <c r="I7" s="84" t="s">
        <v>583</v>
      </c>
      <c r="J7" s="200"/>
      <c r="K7" s="202"/>
    </row>
    <row r="8" spans="1:26" ht="16.5" x14ac:dyDescent="0.3">
      <c r="A8" s="41"/>
      <c r="B8" s="3"/>
      <c r="C8" s="12"/>
      <c r="D8" s="623"/>
      <c r="E8" s="623"/>
      <c r="F8" s="623"/>
      <c r="G8" s="25"/>
      <c r="H8" s="25"/>
      <c r="I8" s="25"/>
      <c r="J8" s="30"/>
      <c r="K8" s="25"/>
    </row>
    <row r="10" spans="1:26" ht="16.5" x14ac:dyDescent="0.3">
      <c r="A10" s="23" t="s">
        <v>364</v>
      </c>
      <c r="B10" s="630" t="s">
        <v>365</v>
      </c>
      <c r="C10" s="630"/>
      <c r="D10" s="630"/>
      <c r="E10" s="630"/>
      <c r="F10" s="630"/>
      <c r="G10" s="630"/>
      <c r="H10" s="630"/>
      <c r="I10" s="630"/>
      <c r="J10" s="630"/>
      <c r="K10" s="630"/>
      <c r="L10" s="630"/>
      <c r="M10" s="4"/>
      <c r="N10" s="557" t="s">
        <v>366</v>
      </c>
      <c r="O10" s="557"/>
      <c r="P10" s="557"/>
      <c r="Q10" s="557"/>
      <c r="R10" s="557"/>
      <c r="S10" s="557"/>
      <c r="T10" s="557"/>
      <c r="U10" s="557"/>
      <c r="V10" s="557"/>
      <c r="W10" s="557"/>
      <c r="X10" s="557"/>
      <c r="Y10" s="557"/>
      <c r="Z10" s="28"/>
    </row>
    <row r="11" spans="1:26" ht="16.5" x14ac:dyDescent="0.3">
      <c r="A11" s="41"/>
      <c r="B11" s="3"/>
      <c r="C11" s="3"/>
      <c r="D11" s="28"/>
      <c r="E11" s="623"/>
      <c r="F11" s="623"/>
      <c r="G11" s="623"/>
      <c r="H11" s="28"/>
      <c r="I11" s="28"/>
      <c r="J11" s="70"/>
      <c r="K11" s="12"/>
      <c r="L11" s="12"/>
      <c r="M11" s="4"/>
      <c r="N11" s="39" t="s">
        <v>103</v>
      </c>
      <c r="O11" s="39" t="s">
        <v>68</v>
      </c>
      <c r="P11" s="330" t="s">
        <v>69</v>
      </c>
      <c r="Q11" s="39" t="s">
        <v>70</v>
      </c>
      <c r="R11" s="39" t="s">
        <v>71</v>
      </c>
      <c r="S11" s="39" t="s">
        <v>72</v>
      </c>
      <c r="T11" s="39" t="s">
        <v>73</v>
      </c>
      <c r="U11" s="39" t="s">
        <v>74</v>
      </c>
      <c r="V11" s="39" t="s">
        <v>75</v>
      </c>
      <c r="W11" s="39" t="s">
        <v>76</v>
      </c>
      <c r="X11" s="39" t="s">
        <v>77</v>
      </c>
      <c r="Y11" s="39" t="s">
        <v>78</v>
      </c>
      <c r="Z11" s="3"/>
    </row>
    <row r="12" spans="1:26" ht="33" x14ac:dyDescent="0.3">
      <c r="A12" s="176" t="s">
        <v>171</v>
      </c>
      <c r="B12" s="176" t="s">
        <v>172</v>
      </c>
      <c r="C12" s="48" t="s">
        <v>418</v>
      </c>
      <c r="D12" s="183" t="s">
        <v>809</v>
      </c>
      <c r="E12" s="627" t="s">
        <v>367</v>
      </c>
      <c r="F12" s="628"/>
      <c r="G12" s="628"/>
      <c r="H12" s="629"/>
      <c r="I12" s="108"/>
      <c r="J12" s="182" t="s">
        <v>153</v>
      </c>
      <c r="K12" s="631" t="s">
        <v>368</v>
      </c>
      <c r="L12" s="632"/>
      <c r="M12" s="23"/>
      <c r="N12" s="162" t="s">
        <v>80</v>
      </c>
      <c r="O12" s="162" t="s">
        <v>81</v>
      </c>
      <c r="P12" s="162" t="s">
        <v>133</v>
      </c>
      <c r="Q12" s="162" t="s">
        <v>134</v>
      </c>
      <c r="R12" s="162" t="s">
        <v>84</v>
      </c>
      <c r="S12" s="162" t="s">
        <v>85</v>
      </c>
      <c r="T12" s="162" t="s">
        <v>86</v>
      </c>
      <c r="U12" s="162" t="s">
        <v>87</v>
      </c>
      <c r="V12" s="162" t="s">
        <v>88</v>
      </c>
      <c r="W12" s="162" t="s">
        <v>89</v>
      </c>
      <c r="X12" s="162" t="s">
        <v>90</v>
      </c>
      <c r="Y12" s="328" t="s">
        <v>91</v>
      </c>
      <c r="Z12" s="162" t="s">
        <v>370</v>
      </c>
    </row>
    <row r="13" spans="1:26" ht="16.5" x14ac:dyDescent="0.3">
      <c r="A13" s="198" t="s">
        <v>576</v>
      </c>
      <c r="B13" s="199" t="s">
        <v>192</v>
      </c>
      <c r="C13" s="8"/>
      <c r="D13" s="19">
        <v>0.13500000000000001</v>
      </c>
      <c r="E13" s="615" t="s">
        <v>378</v>
      </c>
      <c r="F13" s="616"/>
      <c r="G13" s="616"/>
      <c r="H13" s="617"/>
      <c r="I13" s="25"/>
      <c r="J13" s="112"/>
      <c r="K13" s="618"/>
      <c r="L13" s="619"/>
      <c r="M13" s="4"/>
      <c r="N13" s="18">
        <v>0</v>
      </c>
      <c r="O13" s="18">
        <v>5.2843969314323724E-3</v>
      </c>
      <c r="P13" s="18">
        <v>1.7623606433559525E-2</v>
      </c>
      <c r="Q13" s="18">
        <v>3.7238312824969373E-2</v>
      </c>
      <c r="R13" s="18">
        <v>9.6071925423857479E-2</v>
      </c>
      <c r="S13" s="18">
        <v>6.8552616535803301E-2</v>
      </c>
      <c r="T13" s="18">
        <v>9.9567830060019541E-2</v>
      </c>
      <c r="U13" s="18">
        <v>7.7408822607757666E-2</v>
      </c>
      <c r="V13" s="18">
        <v>0.59825248918260077</v>
      </c>
      <c r="W13" s="18">
        <v>0</v>
      </c>
      <c r="X13" s="18">
        <v>0</v>
      </c>
      <c r="Y13" s="139">
        <v>0</v>
      </c>
      <c r="Z13" s="210" t="s">
        <v>378</v>
      </c>
    </row>
    <row r="14" spans="1:26" ht="16.5" x14ac:dyDescent="0.3">
      <c r="A14" s="198" t="s">
        <v>578</v>
      </c>
      <c r="B14" s="199" t="s">
        <v>192</v>
      </c>
      <c r="C14" s="8"/>
      <c r="D14" s="19"/>
      <c r="E14" s="615"/>
      <c r="F14" s="616"/>
      <c r="G14" s="616"/>
      <c r="H14" s="617"/>
      <c r="I14" s="25"/>
      <c r="J14" s="112"/>
      <c r="K14" s="618"/>
      <c r="L14" s="619"/>
      <c r="M14" s="4"/>
      <c r="N14" s="18"/>
      <c r="O14" s="18"/>
      <c r="P14" s="18"/>
      <c r="Q14" s="18"/>
      <c r="R14" s="18"/>
      <c r="S14" s="18"/>
      <c r="T14" s="18"/>
      <c r="U14" s="18"/>
      <c r="V14" s="18"/>
      <c r="W14" s="18"/>
      <c r="X14" s="18"/>
      <c r="Y14" s="139"/>
      <c r="Z14" s="528"/>
    </row>
    <row r="15" spans="1:26" ht="16.5" x14ac:dyDescent="0.3">
      <c r="A15" s="198" t="s">
        <v>580</v>
      </c>
      <c r="B15" s="199" t="s">
        <v>214</v>
      </c>
      <c r="C15" s="8"/>
      <c r="D15" s="19"/>
      <c r="E15" s="615"/>
      <c r="F15" s="616"/>
      <c r="G15" s="616"/>
      <c r="H15" s="617"/>
      <c r="I15" s="25"/>
      <c r="J15" s="112"/>
      <c r="K15" s="618"/>
      <c r="L15" s="619"/>
      <c r="M15" s="4"/>
      <c r="N15" s="18"/>
      <c r="O15" s="18"/>
      <c r="P15" s="18"/>
      <c r="Q15" s="18"/>
      <c r="R15" s="18"/>
      <c r="S15" s="18"/>
      <c r="T15" s="18"/>
      <c r="U15" s="18"/>
      <c r="V15" s="18"/>
      <c r="W15" s="18"/>
      <c r="X15" s="18"/>
      <c r="Y15" s="139"/>
      <c r="Z15" s="210"/>
    </row>
    <row r="16" spans="1:26" ht="16.5" x14ac:dyDescent="0.3">
      <c r="A16" s="198" t="s">
        <v>582</v>
      </c>
      <c r="B16" s="199" t="s">
        <v>214</v>
      </c>
      <c r="C16" s="8"/>
      <c r="D16" s="19"/>
      <c r="E16" s="615"/>
      <c r="F16" s="616"/>
      <c r="G16" s="616"/>
      <c r="H16" s="617"/>
      <c r="I16" s="25"/>
      <c r="J16" s="112"/>
      <c r="K16" s="625"/>
      <c r="L16" s="625"/>
      <c r="M16" s="4"/>
      <c r="N16" s="18"/>
      <c r="O16" s="18"/>
      <c r="P16" s="18"/>
      <c r="Q16" s="18"/>
      <c r="R16" s="18"/>
      <c r="S16" s="18"/>
      <c r="T16" s="18"/>
      <c r="U16" s="18"/>
      <c r="V16" s="18"/>
      <c r="W16" s="18"/>
      <c r="X16" s="18"/>
      <c r="Y16" s="139"/>
      <c r="Z16" s="210"/>
    </row>
    <row r="18" spans="10:10" ht="16.5" x14ac:dyDescent="0.3">
      <c r="J18" s="3" t="s">
        <v>584</v>
      </c>
    </row>
  </sheetData>
  <mergeCells count="24">
    <mergeCell ref="N10:Y10"/>
    <mergeCell ref="E11:G11"/>
    <mergeCell ref="E12:H12"/>
    <mergeCell ref="K12:L12"/>
    <mergeCell ref="K16:L16"/>
    <mergeCell ref="E13:H13"/>
    <mergeCell ref="K13:L13"/>
    <mergeCell ref="E15:H15"/>
    <mergeCell ref="K15:L15"/>
    <mergeCell ref="E14:H14"/>
    <mergeCell ref="K14:L14"/>
    <mergeCell ref="D8:F8"/>
    <mergeCell ref="E16:H16"/>
    <mergeCell ref="D7:F7"/>
    <mergeCell ref="G7:H7"/>
    <mergeCell ref="B10:L10"/>
    <mergeCell ref="D5:F5"/>
    <mergeCell ref="G5:H5"/>
    <mergeCell ref="D6:F6"/>
    <mergeCell ref="G6:H6"/>
    <mergeCell ref="D3:F3"/>
    <mergeCell ref="G3:H3"/>
    <mergeCell ref="D4:F4"/>
    <mergeCell ref="G4:H4"/>
  </mergeCells>
  <phoneticPr fontId="18"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dimension ref="A1:AM33"/>
  <sheetViews>
    <sheetView zoomScale="90" zoomScaleNormal="90" workbookViewId="0">
      <selection activeCell="G14" sqref="G14"/>
    </sheetView>
  </sheetViews>
  <sheetFormatPr defaultColWidth="9.28515625" defaultRowHeight="16.5" x14ac:dyDescent="0.3"/>
  <cols>
    <col min="1" max="1" width="24.140625" style="3" customWidth="1"/>
    <col min="2" max="2" width="29.42578125" style="3" customWidth="1"/>
    <col min="3" max="15" width="14.85546875" style="3" customWidth="1"/>
    <col min="16" max="16384" width="9.28515625" style="3"/>
  </cols>
  <sheetData>
    <row r="1" spans="1:39" x14ac:dyDescent="0.3">
      <c r="A1" s="4" t="s">
        <v>585</v>
      </c>
      <c r="B1" s="7" t="s">
        <v>149</v>
      </c>
      <c r="C1" s="7"/>
      <c r="D1" s="7"/>
      <c r="F1" s="20"/>
    </row>
    <row r="2" spans="1:39" x14ac:dyDescent="0.3">
      <c r="A2" s="4"/>
      <c r="B2" s="158" t="s">
        <v>5</v>
      </c>
      <c r="C2" s="158"/>
      <c r="F2" s="20"/>
    </row>
    <row r="3" spans="1:39" x14ac:dyDescent="0.3">
      <c r="A3" s="4"/>
      <c r="F3" s="20"/>
    </row>
    <row r="4" spans="1:39" x14ac:dyDescent="0.3">
      <c r="A4" s="43" t="s">
        <v>6</v>
      </c>
      <c r="B4" s="57"/>
      <c r="C4" s="24"/>
      <c r="D4" s="24"/>
      <c r="E4" s="24"/>
      <c r="F4" s="20"/>
    </row>
    <row r="5" spans="1:39" x14ac:dyDescent="0.3">
      <c r="A5" s="43" t="s">
        <v>7</v>
      </c>
      <c r="B5" s="57"/>
      <c r="C5" s="24"/>
      <c r="D5" s="24"/>
      <c r="E5" s="24"/>
      <c r="F5" s="20"/>
    </row>
    <row r="6" spans="1:39" ht="18" x14ac:dyDescent="0.3">
      <c r="A6" s="43" t="s">
        <v>8</v>
      </c>
      <c r="B6" s="57"/>
      <c r="C6" s="24" t="s">
        <v>835</v>
      </c>
      <c r="D6" s="24"/>
      <c r="F6" s="24"/>
      <c r="G6" s="24"/>
    </row>
    <row r="7" spans="1:39" x14ac:dyDescent="0.3">
      <c r="A7" s="24"/>
      <c r="B7" s="24"/>
      <c r="C7" s="24"/>
      <c r="D7" s="24"/>
      <c r="E7" s="24"/>
      <c r="F7" s="20"/>
    </row>
    <row r="8" spans="1:39" ht="14.45" customHeight="1" x14ac:dyDescent="0.3">
      <c r="A8" s="559" t="s">
        <v>586</v>
      </c>
      <c r="B8" s="559"/>
      <c r="C8" s="559"/>
      <c r="D8" s="560" t="s">
        <v>587</v>
      </c>
      <c r="E8" s="560"/>
      <c r="F8" s="560"/>
      <c r="G8" s="560"/>
      <c r="H8" s="560"/>
      <c r="I8" s="560"/>
      <c r="J8" s="560"/>
      <c r="K8" s="560"/>
      <c r="L8" s="560"/>
      <c r="M8" s="28"/>
      <c r="N8" s="28"/>
      <c r="O8" s="28"/>
      <c r="P8" s="28"/>
      <c r="Q8" s="28"/>
      <c r="R8" s="28"/>
      <c r="S8" s="28"/>
      <c r="T8" s="28"/>
      <c r="U8" s="28"/>
      <c r="V8" s="28"/>
      <c r="W8" s="28"/>
      <c r="X8" s="28"/>
      <c r="Y8" s="28"/>
      <c r="Z8" s="28"/>
      <c r="AA8" s="32"/>
      <c r="AB8" s="4"/>
      <c r="AC8" s="4"/>
      <c r="AD8" s="33"/>
      <c r="AE8" s="33"/>
      <c r="AF8" s="33"/>
      <c r="AG8" s="33"/>
      <c r="AH8" s="4"/>
      <c r="AI8" s="4"/>
      <c r="AJ8" s="4"/>
      <c r="AK8" s="4"/>
    </row>
    <row r="9" spans="1:39" x14ac:dyDescent="0.3">
      <c r="A9" s="6"/>
      <c r="C9" s="39" t="s">
        <v>107</v>
      </c>
      <c r="D9" s="39" t="s">
        <v>108</v>
      </c>
      <c r="E9" s="39" t="s">
        <v>109</v>
      </c>
      <c r="F9" s="39" t="s">
        <v>110</v>
      </c>
      <c r="G9" s="39" t="s">
        <v>111</v>
      </c>
      <c r="H9" s="39" t="s">
        <v>112</v>
      </c>
      <c r="I9" s="39" t="s">
        <v>113</v>
      </c>
      <c r="J9" s="39" t="s">
        <v>114</v>
      </c>
      <c r="K9" s="39" t="s">
        <v>115</v>
      </c>
      <c r="L9" s="39" t="s">
        <v>116</v>
      </c>
    </row>
    <row r="10" spans="1:39" x14ac:dyDescent="0.3">
      <c r="A10" s="618" t="s">
        <v>588</v>
      </c>
      <c r="B10" s="619"/>
      <c r="C10" s="38"/>
      <c r="D10" s="38"/>
      <c r="E10" s="38"/>
      <c r="F10" s="38"/>
      <c r="G10" s="38"/>
      <c r="H10" s="38"/>
      <c r="I10" s="38"/>
      <c r="J10" s="38"/>
      <c r="K10" s="38"/>
      <c r="L10" s="38"/>
      <c r="M10" s="28" t="s">
        <v>589</v>
      </c>
    </row>
    <row r="11" spans="1:39" x14ac:dyDescent="0.3">
      <c r="A11" s="618" t="s">
        <v>590</v>
      </c>
      <c r="B11" s="619"/>
      <c r="C11" s="81" t="str">
        <f>IF(C10="","",(C10*(1/$B$6)))</f>
        <v/>
      </c>
      <c r="D11" s="81" t="str">
        <f t="shared" ref="D11:K11" si="0">IF(D10="","",(D10*(1/$B$6)))</f>
        <v/>
      </c>
      <c r="E11" s="81" t="str">
        <f t="shared" si="0"/>
        <v/>
      </c>
      <c r="F11" s="81" t="str">
        <f t="shared" si="0"/>
        <v/>
      </c>
      <c r="G11" s="81" t="str">
        <f t="shared" si="0"/>
        <v/>
      </c>
      <c r="H11" s="81" t="str">
        <f t="shared" si="0"/>
        <v/>
      </c>
      <c r="I11" s="81" t="str">
        <f t="shared" si="0"/>
        <v/>
      </c>
      <c r="J11" s="81" t="str">
        <f t="shared" si="0"/>
        <v/>
      </c>
      <c r="K11" s="81" t="str">
        <f t="shared" si="0"/>
        <v/>
      </c>
      <c r="L11" s="81" t="str">
        <f>IF(L10="","",(L10*(1/$B$6)))</f>
        <v/>
      </c>
      <c r="M11" s="71" t="e">
        <f>AVERAGE(C11:L11)</f>
        <v>#DIV/0!</v>
      </c>
    </row>
    <row r="12" spans="1:39" ht="19.350000000000001" customHeight="1" x14ac:dyDescent="0.3">
      <c r="A12" s="42"/>
      <c r="B12" s="42"/>
      <c r="C12" s="44"/>
      <c r="F12" s="20"/>
    </row>
    <row r="13" spans="1:39" x14ac:dyDescent="0.3">
      <c r="A13" s="660" t="s">
        <v>591</v>
      </c>
      <c r="B13" s="660"/>
      <c r="C13" s="660"/>
      <c r="D13" s="4"/>
      <c r="E13" s="12"/>
      <c r="F13" s="12"/>
      <c r="G13" s="12"/>
      <c r="H13" s="12"/>
      <c r="I13" s="12"/>
      <c r="J13" s="12"/>
      <c r="K13" s="12"/>
      <c r="L13" s="12"/>
      <c r="M13" s="12"/>
      <c r="N13" s="12"/>
      <c r="O13" s="12"/>
      <c r="P13" s="12"/>
      <c r="Q13" s="12"/>
      <c r="R13" s="12"/>
      <c r="S13" s="12"/>
      <c r="T13" s="26"/>
      <c r="U13" s="26"/>
      <c r="V13" s="26"/>
      <c r="W13" s="26"/>
      <c r="X13" s="26"/>
      <c r="Y13" s="26"/>
      <c r="Z13" s="26"/>
      <c r="AA13" s="12"/>
      <c r="AB13" s="12"/>
      <c r="AC13" s="27"/>
      <c r="AF13" s="11"/>
      <c r="AG13" s="11"/>
      <c r="AH13" s="11"/>
      <c r="AI13" s="11"/>
      <c r="AL13" s="25"/>
      <c r="AM13" s="25"/>
    </row>
    <row r="14" spans="1:39" ht="18.75" x14ac:dyDescent="0.35">
      <c r="A14" s="717" t="s">
        <v>592</v>
      </c>
      <c r="B14" s="717"/>
      <c r="C14" s="137">
        <v>9.3000000000000005E-4</v>
      </c>
      <c r="D14" s="4"/>
      <c r="E14" s="4" t="s">
        <v>948</v>
      </c>
      <c r="F14" s="79"/>
      <c r="G14" s="28"/>
      <c r="H14" s="28"/>
      <c r="I14" s="28"/>
      <c r="J14" s="12"/>
      <c r="K14" s="98"/>
      <c r="L14" s="98"/>
      <c r="M14" s="12"/>
      <c r="N14" s="12"/>
      <c r="O14" s="12"/>
      <c r="P14" s="12"/>
      <c r="Q14" s="12"/>
      <c r="R14" s="12"/>
      <c r="S14" s="12"/>
      <c r="T14" s="26"/>
      <c r="U14" s="26"/>
      <c r="V14" s="26"/>
      <c r="W14" s="26"/>
      <c r="X14" s="26"/>
      <c r="Y14" s="26"/>
      <c r="Z14" s="26"/>
      <c r="AA14" s="12"/>
      <c r="AB14" s="12"/>
      <c r="AC14" s="27"/>
      <c r="AF14" s="11"/>
      <c r="AG14" s="11"/>
      <c r="AH14" s="11"/>
      <c r="AI14" s="11"/>
      <c r="AL14" s="25"/>
      <c r="AM14" s="25"/>
    </row>
    <row r="15" spans="1:39" ht="12.6" customHeight="1" x14ac:dyDescent="0.3">
      <c r="A15" s="4"/>
      <c r="B15" s="4"/>
      <c r="C15" s="4"/>
      <c r="D15" s="4"/>
      <c r="E15" s="12"/>
      <c r="F15" s="12"/>
      <c r="G15" s="12"/>
      <c r="H15" s="12"/>
      <c r="I15" s="12"/>
      <c r="J15" s="12"/>
      <c r="K15" s="12"/>
      <c r="L15" s="12"/>
      <c r="M15" s="12"/>
      <c r="N15" s="12"/>
      <c r="O15" s="12"/>
      <c r="P15" s="12"/>
      <c r="Q15" s="12"/>
      <c r="R15" s="12"/>
      <c r="S15" s="12"/>
      <c r="T15" s="26"/>
      <c r="U15" s="26"/>
      <c r="V15" s="26"/>
      <c r="W15" s="26"/>
      <c r="X15" s="26"/>
      <c r="Y15" s="26"/>
      <c r="Z15" s="26"/>
      <c r="AA15" s="12"/>
      <c r="AB15" s="12"/>
      <c r="AC15" s="27"/>
      <c r="AF15" s="11"/>
      <c r="AG15" s="11"/>
      <c r="AH15" s="11"/>
      <c r="AI15" s="11"/>
      <c r="AL15" s="25"/>
      <c r="AM15" s="25"/>
    </row>
    <row r="16" spans="1:39" ht="21" customHeight="1" x14ac:dyDescent="0.3">
      <c r="A16" s="718" t="s">
        <v>593</v>
      </c>
      <c r="B16" s="719"/>
      <c r="C16" s="82" t="e">
        <f>(M11*C14)</f>
        <v>#DIV/0!</v>
      </c>
      <c r="E16" s="3" t="s">
        <v>594</v>
      </c>
    </row>
    <row r="17" spans="1:39" x14ac:dyDescent="0.3">
      <c r="C17" s="4"/>
      <c r="D17" s="4"/>
      <c r="E17" s="4"/>
      <c r="F17" s="4"/>
      <c r="I17" s="4"/>
      <c r="O17" s="12"/>
      <c r="P17" s="12"/>
      <c r="Q17" s="12"/>
      <c r="R17" s="12"/>
      <c r="S17" s="12"/>
      <c r="T17" s="12"/>
      <c r="U17" s="12"/>
      <c r="V17" s="12"/>
      <c r="W17" s="26"/>
      <c r="X17" s="26"/>
      <c r="Y17" s="26"/>
      <c r="Z17" s="26"/>
      <c r="AA17" s="12"/>
      <c r="AB17" s="12"/>
      <c r="AC17" s="27"/>
      <c r="AF17" s="11"/>
      <c r="AG17" s="11"/>
      <c r="AH17" s="11"/>
      <c r="AI17" s="11"/>
      <c r="AL17" s="25"/>
      <c r="AM17" s="25"/>
    </row>
    <row r="18" spans="1:39" x14ac:dyDescent="0.3">
      <c r="A18" s="660" t="s">
        <v>595</v>
      </c>
      <c r="B18" s="660"/>
      <c r="C18" s="660"/>
      <c r="D18" s="661" t="s">
        <v>596</v>
      </c>
      <c r="E18" s="661"/>
      <c r="F18" s="722" t="s">
        <v>597</v>
      </c>
      <c r="G18" s="722"/>
      <c r="H18" s="722"/>
      <c r="I18" s="722"/>
      <c r="J18" s="722"/>
      <c r="K18" s="722"/>
      <c r="L18" s="722"/>
      <c r="M18" s="722"/>
      <c r="N18" s="722"/>
      <c r="O18" s="12"/>
      <c r="P18" s="12"/>
      <c r="Q18" s="12"/>
      <c r="R18" s="12"/>
      <c r="S18" s="12"/>
      <c r="T18" s="12"/>
      <c r="U18" s="12"/>
      <c r="V18" s="12"/>
      <c r="W18" s="26"/>
      <c r="X18" s="26"/>
      <c r="Y18" s="26"/>
      <c r="Z18" s="26"/>
      <c r="AA18" s="12"/>
      <c r="AB18" s="12"/>
      <c r="AC18" s="27"/>
      <c r="AF18" s="11"/>
      <c r="AG18" s="11"/>
      <c r="AH18" s="11"/>
      <c r="AI18" s="11"/>
      <c r="AL18" s="25"/>
      <c r="AM18" s="25"/>
    </row>
    <row r="19" spans="1:39" x14ac:dyDescent="0.3">
      <c r="A19" s="703" t="s">
        <v>598</v>
      </c>
      <c r="B19" s="704"/>
      <c r="C19" s="338" t="s">
        <v>67</v>
      </c>
      <c r="D19" s="342" t="s">
        <v>68</v>
      </c>
      <c r="E19" s="338" t="s">
        <v>69</v>
      </c>
      <c r="F19" s="342" t="s">
        <v>70</v>
      </c>
      <c r="G19" s="407" t="s">
        <v>71</v>
      </c>
      <c r="H19" s="407" t="s">
        <v>72</v>
      </c>
      <c r="I19" s="407" t="s">
        <v>73</v>
      </c>
      <c r="J19" s="407" t="s">
        <v>74</v>
      </c>
      <c r="K19" s="407" t="s">
        <v>75</v>
      </c>
      <c r="L19" s="407" t="s">
        <v>76</v>
      </c>
      <c r="M19" s="407" t="s">
        <v>77</v>
      </c>
      <c r="N19" s="407" t="s">
        <v>78</v>
      </c>
      <c r="O19" s="12"/>
      <c r="P19" s="12"/>
      <c r="Q19" s="12"/>
      <c r="R19" s="12"/>
      <c r="S19" s="12"/>
      <c r="T19" s="12"/>
      <c r="U19" s="12"/>
      <c r="V19" s="12"/>
      <c r="W19" s="26"/>
      <c r="X19" s="26"/>
      <c r="Y19" s="26"/>
      <c r="Z19" s="26"/>
      <c r="AA19" s="12"/>
      <c r="AB19" s="12"/>
      <c r="AC19" s="27"/>
      <c r="AF19" s="11"/>
      <c r="AG19" s="11"/>
      <c r="AH19" s="11"/>
      <c r="AI19" s="11"/>
      <c r="AL19" s="25"/>
      <c r="AM19" s="25"/>
    </row>
    <row r="20" spans="1:39" x14ac:dyDescent="0.3">
      <c r="A20" s="707"/>
      <c r="B20" s="708"/>
      <c r="C20" s="348" t="s">
        <v>80</v>
      </c>
      <c r="D20" s="348" t="s">
        <v>81</v>
      </c>
      <c r="E20" s="348" t="s">
        <v>82</v>
      </c>
      <c r="F20" s="348" t="s">
        <v>83</v>
      </c>
      <c r="G20" s="408" t="s">
        <v>84</v>
      </c>
      <c r="H20" s="408" t="s">
        <v>85</v>
      </c>
      <c r="I20" s="408" t="s">
        <v>86</v>
      </c>
      <c r="J20" s="408" t="s">
        <v>87</v>
      </c>
      <c r="K20" s="408" t="s">
        <v>88</v>
      </c>
      <c r="L20" s="408" t="s">
        <v>89</v>
      </c>
      <c r="M20" s="408" t="s">
        <v>90</v>
      </c>
      <c r="N20" s="408" t="s">
        <v>91</v>
      </c>
      <c r="O20" s="12"/>
      <c r="P20" s="12"/>
      <c r="Q20" s="12"/>
      <c r="R20" s="12"/>
      <c r="S20" s="12"/>
      <c r="T20" s="12"/>
      <c r="U20" s="12"/>
      <c r="V20" s="12"/>
      <c r="W20" s="26"/>
      <c r="X20" s="26"/>
      <c r="Y20" s="26"/>
      <c r="Z20" s="26"/>
      <c r="AA20" s="12"/>
      <c r="AB20" s="12"/>
      <c r="AC20" s="27"/>
      <c r="AF20" s="11"/>
      <c r="AG20" s="11"/>
      <c r="AH20" s="11"/>
      <c r="AI20" s="11"/>
      <c r="AL20" s="25"/>
      <c r="AM20" s="25"/>
    </row>
    <row r="21" spans="1:39" x14ac:dyDescent="0.3">
      <c r="A21" s="715" t="s">
        <v>599</v>
      </c>
      <c r="B21" s="716"/>
      <c r="C21" s="326"/>
      <c r="D21" s="121"/>
      <c r="E21" s="326"/>
      <c r="F21" s="121"/>
      <c r="G21" s="134">
        <v>0</v>
      </c>
      <c r="H21" s="134">
        <v>0</v>
      </c>
      <c r="I21" s="134">
        <v>0</v>
      </c>
      <c r="J21" s="134">
        <v>0</v>
      </c>
      <c r="K21" s="134">
        <v>0</v>
      </c>
      <c r="L21" s="134">
        <v>0</v>
      </c>
      <c r="M21" s="134">
        <v>0</v>
      </c>
      <c r="N21" s="134">
        <v>0</v>
      </c>
      <c r="O21" s="12"/>
      <c r="P21" s="12"/>
      <c r="Q21" s="12"/>
      <c r="R21" s="12"/>
      <c r="S21" s="12"/>
      <c r="T21" s="12"/>
      <c r="U21" s="12"/>
      <c r="V21" s="12"/>
      <c r="W21" s="26"/>
      <c r="X21" s="26"/>
      <c r="Y21" s="26"/>
      <c r="Z21" s="26"/>
      <c r="AA21" s="12"/>
      <c r="AB21" s="12"/>
      <c r="AC21" s="27"/>
      <c r="AF21" s="11"/>
      <c r="AG21" s="11"/>
      <c r="AH21" s="11"/>
      <c r="AI21" s="11"/>
      <c r="AL21" s="25"/>
      <c r="AM21" s="25"/>
    </row>
    <row r="22" spans="1:39" x14ac:dyDescent="0.3">
      <c r="A22" s="720" t="s">
        <v>600</v>
      </c>
      <c r="B22" s="720"/>
      <c r="C22" s="18">
        <f>IF(C21=0,0,(C21/($C$21+$D$21+$E$21+$F$21)))</f>
        <v>0</v>
      </c>
      <c r="D22" s="18">
        <f t="shared" ref="D22:F22" si="1">IF(D21=0,0,(D21/($C$21+$D$21+$E$21+$F$21)))</f>
        <v>0</v>
      </c>
      <c r="E22" s="18">
        <f t="shared" si="1"/>
        <v>0</v>
      </c>
      <c r="F22" s="18">
        <f t="shared" si="1"/>
        <v>0</v>
      </c>
      <c r="G22" s="134">
        <v>0</v>
      </c>
      <c r="H22" s="134">
        <v>0</v>
      </c>
      <c r="I22" s="134">
        <v>0</v>
      </c>
      <c r="J22" s="134">
        <v>0</v>
      </c>
      <c r="K22" s="134">
        <v>0</v>
      </c>
      <c r="L22" s="134">
        <v>0</v>
      </c>
      <c r="M22" s="134">
        <v>0</v>
      </c>
      <c r="N22" s="134">
        <v>0</v>
      </c>
      <c r="O22" s="12"/>
      <c r="P22" s="12"/>
      <c r="Q22" s="12"/>
      <c r="R22" s="12"/>
      <c r="S22" s="12"/>
      <c r="T22" s="12"/>
      <c r="U22" s="12"/>
      <c r="V22" s="12"/>
      <c r="W22" s="26"/>
      <c r="X22" s="26"/>
      <c r="Y22" s="26"/>
      <c r="Z22" s="26"/>
      <c r="AA22" s="12"/>
      <c r="AB22" s="12"/>
      <c r="AC22" s="27"/>
      <c r="AF22" s="11"/>
      <c r="AG22" s="11"/>
      <c r="AH22" s="11"/>
      <c r="AI22" s="11"/>
      <c r="AL22" s="25"/>
      <c r="AM22" s="25"/>
    </row>
    <row r="23" spans="1:39" x14ac:dyDescent="0.3">
      <c r="O23" s="12"/>
      <c r="P23" s="12"/>
      <c r="Q23" s="12"/>
      <c r="R23" s="12"/>
      <c r="S23" s="12"/>
      <c r="T23" s="12"/>
      <c r="U23" s="12"/>
      <c r="V23" s="12"/>
      <c r="W23" s="26"/>
      <c r="X23" s="26"/>
      <c r="Y23" s="26"/>
      <c r="Z23" s="26"/>
      <c r="AA23" s="12"/>
      <c r="AB23" s="12"/>
      <c r="AC23" s="27"/>
      <c r="AF23" s="11"/>
      <c r="AG23" s="11"/>
      <c r="AH23" s="11"/>
      <c r="AI23" s="11"/>
      <c r="AL23" s="25"/>
      <c r="AM23" s="25"/>
    </row>
    <row r="24" spans="1:39" x14ac:dyDescent="0.3">
      <c r="O24" s="12"/>
      <c r="P24" s="12"/>
      <c r="Q24" s="12"/>
      <c r="R24" s="12"/>
      <c r="S24" s="12"/>
      <c r="T24" s="12"/>
      <c r="U24" s="12"/>
      <c r="V24" s="12"/>
      <c r="W24" s="26"/>
      <c r="X24" s="26"/>
      <c r="Y24" s="26"/>
      <c r="Z24" s="26"/>
      <c r="AA24" s="12"/>
      <c r="AB24" s="12"/>
      <c r="AC24" s="27"/>
      <c r="AF24" s="11"/>
      <c r="AG24" s="11"/>
      <c r="AH24" s="11"/>
      <c r="AI24" s="11"/>
      <c r="AL24" s="25"/>
      <c r="AM24" s="25"/>
    </row>
    <row r="25" spans="1:39" x14ac:dyDescent="0.3">
      <c r="A25" s="660" t="s">
        <v>601</v>
      </c>
      <c r="B25" s="660"/>
      <c r="C25" s="26"/>
      <c r="D25" s="26"/>
      <c r="E25" s="26"/>
      <c r="F25" s="26"/>
      <c r="G25" s="26"/>
      <c r="H25" s="26"/>
      <c r="I25" s="26"/>
      <c r="J25" s="26"/>
      <c r="K25" s="26"/>
      <c r="L25" s="26"/>
      <c r="M25" s="26"/>
      <c r="N25" s="26"/>
      <c r="O25" s="28" t="s">
        <v>104</v>
      </c>
      <c r="P25" s="12"/>
      <c r="Q25" s="12"/>
      <c r="R25" s="12"/>
      <c r="S25" s="12"/>
      <c r="T25" s="12"/>
      <c r="U25" s="12"/>
      <c r="V25" s="12"/>
      <c r="W25" s="12"/>
      <c r="X25" s="12"/>
      <c r="Y25" s="12"/>
      <c r="Z25" s="12"/>
      <c r="AA25" s="12"/>
      <c r="AB25" s="12"/>
      <c r="AC25" s="27"/>
      <c r="AF25" s="11"/>
      <c r="AG25" s="11"/>
      <c r="AH25" s="11"/>
      <c r="AI25" s="11"/>
      <c r="AL25" s="25"/>
      <c r="AM25" s="25"/>
    </row>
    <row r="26" spans="1:39" s="59" customFormat="1" ht="42.75" customHeight="1" x14ac:dyDescent="0.25">
      <c r="A26" s="714" t="s">
        <v>169</v>
      </c>
      <c r="B26" s="714"/>
      <c r="C26" s="152" t="str">
        <f>IF($B$4="","",($C$16*C22))</f>
        <v/>
      </c>
      <c r="D26" s="152" t="str">
        <f t="shared" ref="D26:N26" si="2">IF($B$4="","",($C$16*D22))</f>
        <v/>
      </c>
      <c r="E26" s="152" t="str">
        <f t="shared" si="2"/>
        <v/>
      </c>
      <c r="F26" s="152" t="str">
        <f t="shared" si="2"/>
        <v/>
      </c>
      <c r="G26" s="152" t="str">
        <f t="shared" si="2"/>
        <v/>
      </c>
      <c r="H26" s="152" t="str">
        <f t="shared" si="2"/>
        <v/>
      </c>
      <c r="I26" s="152" t="str">
        <f t="shared" si="2"/>
        <v/>
      </c>
      <c r="J26" s="152" t="str">
        <f t="shared" si="2"/>
        <v/>
      </c>
      <c r="K26" s="152" t="str">
        <f t="shared" si="2"/>
        <v/>
      </c>
      <c r="L26" s="152" t="str">
        <f t="shared" si="2"/>
        <v/>
      </c>
      <c r="M26" s="152" t="str">
        <f t="shared" si="2"/>
        <v/>
      </c>
      <c r="N26" s="152" t="str">
        <f t="shared" si="2"/>
        <v/>
      </c>
      <c r="O26" s="130">
        <f>SUM(C26:N26)</f>
        <v>0</v>
      </c>
      <c r="P26" s="50"/>
      <c r="Q26" s="50"/>
      <c r="R26" s="50"/>
      <c r="S26" s="50"/>
      <c r="T26" s="50"/>
      <c r="U26" s="50"/>
      <c r="V26" s="50"/>
      <c r="W26" s="50"/>
      <c r="X26" s="50"/>
      <c r="Y26" s="50"/>
      <c r="Z26" s="50"/>
      <c r="AA26" s="50"/>
      <c r="AB26" s="50"/>
      <c r="AC26" s="58"/>
      <c r="AF26" s="60"/>
      <c r="AG26" s="60"/>
      <c r="AH26" s="60"/>
      <c r="AI26" s="60"/>
      <c r="AL26" s="61"/>
      <c r="AM26" s="61"/>
    </row>
    <row r="27" spans="1:39" x14ac:dyDescent="0.3">
      <c r="A27" s="45"/>
      <c r="B27" s="45"/>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27"/>
      <c r="AF27" s="11"/>
      <c r="AG27" s="11"/>
      <c r="AH27" s="11"/>
      <c r="AI27" s="11"/>
      <c r="AL27" s="25"/>
      <c r="AM27" s="25"/>
    </row>
    <row r="28" spans="1:39" ht="15.6" customHeight="1" x14ac:dyDescent="0.3">
      <c r="A28" s="721" t="s">
        <v>947</v>
      </c>
      <c r="B28" s="721"/>
      <c r="C28" s="721"/>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27"/>
      <c r="AF28" s="11"/>
      <c r="AG28" s="11"/>
      <c r="AH28" s="11"/>
      <c r="AI28" s="11"/>
      <c r="AL28" s="25"/>
      <c r="AM28" s="25"/>
    </row>
    <row r="29" spans="1:39" ht="18" x14ac:dyDescent="0.35">
      <c r="A29" s="4" t="s">
        <v>44</v>
      </c>
      <c r="B29" s="713" t="s">
        <v>602</v>
      </c>
      <c r="C29" s="713"/>
      <c r="D29" s="713"/>
      <c r="E29" s="713"/>
    </row>
    <row r="30" spans="1:39" x14ac:dyDescent="0.3">
      <c r="A30" s="6" t="s">
        <v>603</v>
      </c>
      <c r="B30" s="146">
        <v>3.5000000000000004E-5</v>
      </c>
      <c r="F30" s="94"/>
    </row>
    <row r="31" spans="1:39" x14ac:dyDescent="0.3">
      <c r="A31" s="6" t="s">
        <v>604</v>
      </c>
      <c r="B31" s="146">
        <v>1E-3</v>
      </c>
      <c r="F31" s="94"/>
    </row>
    <row r="32" spans="1:39" x14ac:dyDescent="0.3">
      <c r="A32" s="6" t="s">
        <v>605</v>
      </c>
      <c r="B32" s="146">
        <v>1.7600000000000001E-3</v>
      </c>
      <c r="F32" s="94"/>
    </row>
    <row r="33" spans="1:2" x14ac:dyDescent="0.3">
      <c r="A33" s="4" t="s">
        <v>589</v>
      </c>
      <c r="B33" s="147">
        <f>AVERAGE(B30:B32)</f>
        <v>9.3166666666666669E-4</v>
      </c>
    </row>
  </sheetData>
  <mergeCells count="17">
    <mergeCell ref="D8:L8"/>
    <mergeCell ref="A8:C8"/>
    <mergeCell ref="A13:C13"/>
    <mergeCell ref="A18:C18"/>
    <mergeCell ref="F18:N18"/>
    <mergeCell ref="D18:E18"/>
    <mergeCell ref="A10:B10"/>
    <mergeCell ref="A11:B11"/>
    <mergeCell ref="B29:E29"/>
    <mergeCell ref="A26:B26"/>
    <mergeCell ref="A21:B21"/>
    <mergeCell ref="A14:B14"/>
    <mergeCell ref="A16:B16"/>
    <mergeCell ref="A19:B20"/>
    <mergeCell ref="A22:B22"/>
    <mergeCell ref="A25:B25"/>
    <mergeCell ref="A28:C28"/>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2"/>
  <dimension ref="A1:AM35"/>
  <sheetViews>
    <sheetView zoomScale="90" zoomScaleNormal="90" workbookViewId="0">
      <selection activeCell="M13" sqref="M13"/>
    </sheetView>
  </sheetViews>
  <sheetFormatPr defaultColWidth="9.28515625" defaultRowHeight="16.5" x14ac:dyDescent="0.3"/>
  <cols>
    <col min="1" max="1" width="24.140625" style="3" customWidth="1"/>
    <col min="2" max="2" width="30" style="3" customWidth="1"/>
    <col min="3" max="16" width="14.85546875" style="3" customWidth="1"/>
    <col min="17" max="17" width="9.28515625" style="3"/>
  </cols>
  <sheetData>
    <row r="1" spans="1:39" x14ac:dyDescent="0.3">
      <c r="A1" s="4" t="s">
        <v>606</v>
      </c>
      <c r="B1" s="7" t="s">
        <v>149</v>
      </c>
      <c r="C1" s="7"/>
      <c r="D1" s="7"/>
      <c r="F1" s="20"/>
      <c r="I1" s="78"/>
    </row>
    <row r="2" spans="1:39" x14ac:dyDescent="0.3">
      <c r="A2" s="4"/>
      <c r="B2" s="158" t="s">
        <v>5</v>
      </c>
      <c r="C2" s="158"/>
      <c r="F2" s="20"/>
      <c r="I2" s="78"/>
    </row>
    <row r="3" spans="1:39" x14ac:dyDescent="0.3">
      <c r="A3" s="4"/>
      <c r="F3" s="20"/>
      <c r="I3" s="78"/>
    </row>
    <row r="4" spans="1:39" x14ac:dyDescent="0.3">
      <c r="A4" s="43" t="s">
        <v>6</v>
      </c>
      <c r="B4" s="57"/>
      <c r="C4" s="24"/>
      <c r="D4" s="24"/>
      <c r="E4" s="24"/>
      <c r="F4" s="20"/>
      <c r="I4" s="78"/>
    </row>
    <row r="5" spans="1:39" x14ac:dyDescent="0.3">
      <c r="A5" s="43" t="s">
        <v>7</v>
      </c>
      <c r="B5" s="57"/>
      <c r="C5" s="24"/>
      <c r="D5" s="24"/>
      <c r="E5" s="24"/>
      <c r="F5" s="20"/>
      <c r="I5" s="78"/>
    </row>
    <row r="6" spans="1:39" ht="18" x14ac:dyDescent="0.3">
      <c r="A6" s="43" t="s">
        <v>8</v>
      </c>
      <c r="B6" s="57"/>
      <c r="C6" s="24" t="s">
        <v>835</v>
      </c>
      <c r="D6" s="24"/>
      <c r="F6" s="20"/>
      <c r="I6" s="78"/>
    </row>
    <row r="7" spans="1:39" x14ac:dyDescent="0.3">
      <c r="A7" s="24"/>
      <c r="B7" s="24"/>
      <c r="C7" s="24"/>
      <c r="D7" s="24"/>
      <c r="E7" s="24"/>
      <c r="F7" s="20"/>
      <c r="I7" s="78"/>
    </row>
    <row r="8" spans="1:39" x14ac:dyDescent="0.3">
      <c r="A8" s="559" t="s">
        <v>1033</v>
      </c>
      <c r="B8" s="559"/>
      <c r="C8" s="559"/>
      <c r="D8" s="560" t="s">
        <v>587</v>
      </c>
      <c r="E8" s="560"/>
      <c r="F8" s="560"/>
      <c r="G8" s="560"/>
      <c r="H8" s="560"/>
      <c r="I8" s="560"/>
      <c r="J8" s="560"/>
      <c r="K8" s="560"/>
      <c r="L8" s="560"/>
    </row>
    <row r="9" spans="1:39" x14ac:dyDescent="0.3">
      <c r="A9" s="4"/>
      <c r="C9" s="39" t="s">
        <v>107</v>
      </c>
      <c r="D9" s="39" t="s">
        <v>108</v>
      </c>
      <c r="E9" s="39" t="s">
        <v>109</v>
      </c>
      <c r="F9" s="39" t="s">
        <v>110</v>
      </c>
      <c r="G9" s="39" t="s">
        <v>111</v>
      </c>
      <c r="H9" s="39" t="s">
        <v>112</v>
      </c>
      <c r="I9" s="39" t="s">
        <v>113</v>
      </c>
      <c r="J9" s="39" t="s">
        <v>114</v>
      </c>
      <c r="K9" s="39" t="s">
        <v>115</v>
      </c>
      <c r="L9" s="39" t="s">
        <v>116</v>
      </c>
    </row>
    <row r="10" spans="1:39" x14ac:dyDescent="0.3">
      <c r="A10" s="618" t="s">
        <v>607</v>
      </c>
      <c r="B10" s="619"/>
      <c r="C10" s="38"/>
      <c r="D10" s="38"/>
      <c r="E10" s="38"/>
      <c r="F10" s="38"/>
      <c r="G10" s="38"/>
      <c r="H10" s="38"/>
      <c r="I10" s="38"/>
      <c r="J10" s="38"/>
      <c r="K10" s="38"/>
      <c r="L10" s="38"/>
      <c r="M10" s="28" t="s">
        <v>589</v>
      </c>
    </row>
    <row r="11" spans="1:39" x14ac:dyDescent="0.3">
      <c r="A11" s="618" t="s">
        <v>608</v>
      </c>
      <c r="B11" s="619"/>
      <c r="C11" s="81" t="str">
        <f>IF(C10="","",(C10*(1/$B$6)))</f>
        <v/>
      </c>
      <c r="D11" s="81" t="str">
        <f t="shared" ref="D11:L11" si="0">IF(D10="","",(D10*(1/$B$6)))</f>
        <v/>
      </c>
      <c r="E11" s="81" t="str">
        <f t="shared" si="0"/>
        <v/>
      </c>
      <c r="F11" s="81" t="str">
        <f t="shared" si="0"/>
        <v/>
      </c>
      <c r="G11" s="81" t="str">
        <f t="shared" si="0"/>
        <v/>
      </c>
      <c r="H11" s="81" t="str">
        <f t="shared" si="0"/>
        <v/>
      </c>
      <c r="I11" s="81" t="str">
        <f t="shared" si="0"/>
        <v/>
      </c>
      <c r="J11" s="81" t="str">
        <f t="shared" si="0"/>
        <v/>
      </c>
      <c r="K11" s="81" t="str">
        <f t="shared" si="0"/>
        <v/>
      </c>
      <c r="L11" s="81" t="str">
        <f t="shared" si="0"/>
        <v/>
      </c>
      <c r="M11" s="72" t="e">
        <f>AVERAGE(C11,D11,E11,F11,G11,H11,I11,J11,K11,L11)</f>
        <v>#DIV/0!</v>
      </c>
    </row>
    <row r="12" spans="1:39" x14ac:dyDescent="0.3">
      <c r="C12" s="12"/>
      <c r="D12" s="12"/>
      <c r="E12" s="12"/>
      <c r="F12" s="12"/>
      <c r="G12" s="12"/>
      <c r="H12" s="12"/>
      <c r="I12" s="12"/>
      <c r="J12" s="12"/>
      <c r="K12" s="12"/>
      <c r="L12" s="12"/>
    </row>
    <row r="13" spans="1:39" x14ac:dyDescent="0.3">
      <c r="A13" s="660" t="s">
        <v>591</v>
      </c>
      <c r="B13" s="660"/>
      <c r="C13" s="660"/>
      <c r="D13" s="4"/>
      <c r="E13" s="12"/>
      <c r="F13" s="12"/>
      <c r="G13" s="12"/>
      <c r="H13" s="12"/>
      <c r="I13" s="12"/>
      <c r="J13" s="12"/>
      <c r="K13" s="12"/>
      <c r="L13" s="12"/>
      <c r="M13" s="12"/>
      <c r="N13" s="12"/>
      <c r="O13" s="12"/>
      <c r="P13" s="12"/>
      <c r="Q13" s="12"/>
      <c r="R13" s="12"/>
      <c r="S13" s="12"/>
      <c r="T13" s="26"/>
      <c r="U13" s="26"/>
      <c r="V13" s="26"/>
      <c r="W13" s="26"/>
      <c r="X13" s="26"/>
      <c r="Y13" s="26"/>
      <c r="Z13" s="26"/>
      <c r="AA13" s="12"/>
      <c r="AB13" s="12"/>
      <c r="AC13" s="27"/>
      <c r="AD13" s="3"/>
      <c r="AE13" s="3"/>
      <c r="AF13" s="11"/>
      <c r="AG13" s="11"/>
      <c r="AH13" s="11"/>
      <c r="AI13" s="11"/>
      <c r="AJ13" s="3"/>
      <c r="AK13" s="3"/>
      <c r="AL13" s="25"/>
      <c r="AM13" s="25"/>
    </row>
    <row r="14" spans="1:39" ht="18.75" x14ac:dyDescent="0.35">
      <c r="A14" s="717" t="s">
        <v>609</v>
      </c>
      <c r="B14" s="717"/>
      <c r="C14" s="137">
        <v>2.2000000000000001E-4</v>
      </c>
      <c r="D14" s="4"/>
      <c r="E14" s="700" t="s">
        <v>610</v>
      </c>
      <c r="F14" s="700"/>
      <c r="G14" s="700"/>
      <c r="H14" s="700"/>
      <c r="I14" s="700"/>
      <c r="J14" s="700"/>
      <c r="K14" s="700"/>
      <c r="L14" s="12"/>
      <c r="M14" s="12"/>
      <c r="N14" s="12"/>
      <c r="O14" s="12"/>
      <c r="P14" s="12"/>
      <c r="Q14" s="12"/>
      <c r="R14" s="12"/>
      <c r="S14" s="12"/>
      <c r="T14" s="26"/>
      <c r="U14" s="26"/>
      <c r="V14" s="26"/>
      <c r="W14" s="26"/>
      <c r="X14" s="26"/>
      <c r="Y14" s="26"/>
      <c r="Z14" s="26"/>
      <c r="AA14" s="12"/>
      <c r="AB14" s="12"/>
      <c r="AC14" s="27"/>
      <c r="AD14" s="3"/>
      <c r="AE14" s="3"/>
      <c r="AF14" s="11"/>
      <c r="AG14" s="11"/>
      <c r="AH14" s="11"/>
      <c r="AI14" s="11"/>
      <c r="AJ14" s="3"/>
      <c r="AK14" s="3"/>
      <c r="AL14" s="25"/>
      <c r="AM14" s="25"/>
    </row>
    <row r="15" spans="1:39" ht="9" customHeight="1" x14ac:dyDescent="0.3">
      <c r="A15" s="4"/>
      <c r="B15" s="4"/>
      <c r="C15" s="4"/>
      <c r="D15" s="4"/>
      <c r="E15" s="12"/>
      <c r="F15" s="12"/>
      <c r="G15" s="12"/>
      <c r="H15" s="12"/>
      <c r="I15" s="12"/>
      <c r="J15" s="12"/>
      <c r="K15" s="12"/>
      <c r="L15" s="12"/>
      <c r="M15" s="12"/>
      <c r="N15" s="12"/>
      <c r="O15" s="12"/>
      <c r="P15" s="12"/>
      <c r="Q15" s="12"/>
      <c r="R15" s="12"/>
      <c r="S15" s="12"/>
      <c r="T15" s="26"/>
      <c r="U15" s="26"/>
      <c r="V15" s="26"/>
      <c r="W15" s="26"/>
      <c r="X15" s="26"/>
      <c r="Y15" s="26"/>
      <c r="Z15" s="26"/>
      <c r="AA15" s="12"/>
      <c r="AB15" s="12"/>
      <c r="AC15" s="27"/>
      <c r="AD15" s="3"/>
      <c r="AE15" s="3"/>
      <c r="AF15" s="11"/>
      <c r="AG15" s="11"/>
      <c r="AH15" s="11"/>
      <c r="AI15" s="11"/>
      <c r="AJ15" s="3"/>
      <c r="AK15" s="3"/>
      <c r="AL15" s="25"/>
      <c r="AM15" s="25"/>
    </row>
    <row r="16" spans="1:39" ht="21" customHeight="1" x14ac:dyDescent="0.3">
      <c r="A16" s="718" t="s">
        <v>593</v>
      </c>
      <c r="B16" s="719"/>
      <c r="C16" s="82" t="e">
        <f>(M11*C14)</f>
        <v>#DIV/0!</v>
      </c>
      <c r="E16" s="3" t="s">
        <v>594</v>
      </c>
    </row>
    <row r="17" spans="1:39" x14ac:dyDescent="0.3">
      <c r="A17"/>
      <c r="C17" s="12"/>
      <c r="D17" s="12"/>
      <c r="E17" s="12"/>
      <c r="F17" s="12"/>
      <c r="G17" s="12"/>
      <c r="H17" s="12"/>
      <c r="I17" s="12"/>
      <c r="J17" s="12"/>
      <c r="K17" s="12"/>
      <c r="L17" s="12"/>
      <c r="M17" s="12"/>
      <c r="N17" s="12"/>
      <c r="O17" s="12"/>
      <c r="P17" s="26"/>
      <c r="Q17" s="26"/>
      <c r="R17" s="26"/>
      <c r="S17" s="26"/>
      <c r="T17" s="26"/>
      <c r="U17" s="26"/>
      <c r="V17" s="26"/>
      <c r="W17" s="26"/>
      <c r="X17" s="26"/>
      <c r="Y17" s="26"/>
      <c r="Z17" s="26"/>
      <c r="AA17" s="12"/>
      <c r="AB17" s="12"/>
      <c r="AC17" s="27"/>
      <c r="AD17" s="3"/>
      <c r="AE17" s="3"/>
      <c r="AF17" s="11"/>
      <c r="AG17" s="11"/>
      <c r="AH17" s="11"/>
      <c r="AI17" s="11"/>
      <c r="AJ17" s="3"/>
      <c r="AK17" s="3"/>
      <c r="AL17" s="25"/>
      <c r="AM17" s="25"/>
    </row>
    <row r="18" spans="1:39" x14ac:dyDescent="0.3">
      <c r="A18" s="660" t="s">
        <v>595</v>
      </c>
      <c r="B18" s="660"/>
      <c r="C18" s="660"/>
      <c r="D18" s="661" t="s">
        <v>596</v>
      </c>
      <c r="E18" s="661"/>
      <c r="F18" s="722" t="s">
        <v>597</v>
      </c>
      <c r="G18" s="722"/>
      <c r="H18" s="722"/>
      <c r="I18" s="722"/>
      <c r="J18" s="722"/>
      <c r="K18" s="722"/>
      <c r="L18" s="722"/>
      <c r="M18" s="722"/>
      <c r="N18" s="722"/>
      <c r="O18" s="12"/>
      <c r="P18" s="12"/>
      <c r="Q18" s="12"/>
      <c r="R18" s="12"/>
      <c r="S18" s="12"/>
      <c r="T18" s="12"/>
      <c r="U18" s="12"/>
      <c r="V18" s="12"/>
      <c r="W18" s="26"/>
      <c r="X18" s="26"/>
      <c r="Y18" s="26"/>
      <c r="Z18" s="26"/>
      <c r="AA18" s="12"/>
      <c r="AB18" s="12"/>
      <c r="AC18" s="27"/>
      <c r="AD18" s="3"/>
      <c r="AE18" s="3"/>
      <c r="AF18" s="11"/>
      <c r="AG18" s="11"/>
      <c r="AH18" s="11"/>
      <c r="AI18" s="11"/>
      <c r="AJ18" s="3"/>
      <c r="AK18" s="3"/>
      <c r="AL18" s="25"/>
      <c r="AM18" s="25"/>
    </row>
    <row r="19" spans="1:39" x14ac:dyDescent="0.3">
      <c r="A19" s="703" t="s">
        <v>598</v>
      </c>
      <c r="B19" s="704"/>
      <c r="C19" s="338" t="s">
        <v>67</v>
      </c>
      <c r="D19" s="342" t="s">
        <v>68</v>
      </c>
      <c r="E19" s="338" t="s">
        <v>69</v>
      </c>
      <c r="F19" s="342" t="s">
        <v>70</v>
      </c>
      <c r="G19" s="407" t="s">
        <v>71</v>
      </c>
      <c r="H19" s="407" t="s">
        <v>72</v>
      </c>
      <c r="I19" s="407" t="s">
        <v>73</v>
      </c>
      <c r="J19" s="407" t="s">
        <v>74</v>
      </c>
      <c r="K19" s="407" t="s">
        <v>75</v>
      </c>
      <c r="L19" s="407" t="s">
        <v>76</v>
      </c>
      <c r="M19" s="407" t="s">
        <v>77</v>
      </c>
      <c r="N19" s="407" t="s">
        <v>78</v>
      </c>
      <c r="O19" s="12"/>
      <c r="P19" s="12"/>
      <c r="Q19" s="12"/>
      <c r="R19" s="12"/>
      <c r="S19" s="12"/>
      <c r="T19" s="12"/>
      <c r="U19" s="12"/>
      <c r="V19" s="12"/>
      <c r="W19" s="26"/>
      <c r="X19" s="26"/>
      <c r="Y19" s="26"/>
      <c r="Z19" s="26"/>
      <c r="AA19" s="12"/>
      <c r="AB19" s="12"/>
      <c r="AC19" s="27"/>
      <c r="AD19" s="3"/>
      <c r="AE19" s="3"/>
      <c r="AF19" s="11"/>
      <c r="AG19" s="11"/>
      <c r="AH19" s="11"/>
      <c r="AI19" s="11"/>
      <c r="AJ19" s="3"/>
      <c r="AK19" s="3"/>
      <c r="AL19" s="25"/>
      <c r="AM19" s="25"/>
    </row>
    <row r="20" spans="1:39" x14ac:dyDescent="0.3">
      <c r="A20" s="707"/>
      <c r="B20" s="708"/>
      <c r="C20" s="348" t="s">
        <v>80</v>
      </c>
      <c r="D20" s="348" t="s">
        <v>81</v>
      </c>
      <c r="E20" s="348" t="s">
        <v>82</v>
      </c>
      <c r="F20" s="348" t="s">
        <v>83</v>
      </c>
      <c r="G20" s="408" t="s">
        <v>84</v>
      </c>
      <c r="H20" s="408" t="s">
        <v>85</v>
      </c>
      <c r="I20" s="408" t="s">
        <v>86</v>
      </c>
      <c r="J20" s="408" t="s">
        <v>87</v>
      </c>
      <c r="K20" s="408" t="s">
        <v>88</v>
      </c>
      <c r="L20" s="408" t="s">
        <v>89</v>
      </c>
      <c r="M20" s="408" t="s">
        <v>90</v>
      </c>
      <c r="N20" s="408" t="s">
        <v>91</v>
      </c>
      <c r="O20" s="12"/>
      <c r="P20" s="12"/>
      <c r="Q20" s="12"/>
      <c r="R20" s="12"/>
      <c r="S20" s="12"/>
      <c r="T20" s="12"/>
      <c r="U20" s="12"/>
      <c r="V20" s="12"/>
      <c r="W20" s="26"/>
      <c r="X20" s="26"/>
      <c r="Y20" s="26"/>
      <c r="Z20" s="26"/>
      <c r="AA20" s="12"/>
      <c r="AB20" s="12"/>
      <c r="AC20" s="27"/>
      <c r="AD20" s="3"/>
      <c r="AE20" s="3"/>
      <c r="AF20" s="11"/>
      <c r="AG20" s="11"/>
      <c r="AH20" s="11"/>
      <c r="AI20" s="11"/>
      <c r="AJ20" s="3"/>
      <c r="AK20" s="3"/>
      <c r="AL20" s="25"/>
      <c r="AM20" s="25"/>
    </row>
    <row r="21" spans="1:39" x14ac:dyDescent="0.3">
      <c r="A21" s="715" t="s">
        <v>599</v>
      </c>
      <c r="B21" s="723"/>
      <c r="C21" s="326"/>
      <c r="D21" s="121"/>
      <c r="E21" s="326"/>
      <c r="F21" s="121"/>
      <c r="G21" s="134">
        <v>0</v>
      </c>
      <c r="H21" s="134">
        <v>0</v>
      </c>
      <c r="I21" s="134">
        <v>0</v>
      </c>
      <c r="J21" s="134">
        <v>0</v>
      </c>
      <c r="K21" s="134">
        <v>0</v>
      </c>
      <c r="L21" s="134">
        <v>0</v>
      </c>
      <c r="M21" s="134">
        <v>0</v>
      </c>
      <c r="N21" s="134">
        <v>0</v>
      </c>
      <c r="O21" s="12"/>
      <c r="P21" s="12"/>
      <c r="Q21" s="12"/>
      <c r="R21" s="12"/>
      <c r="S21" s="12"/>
      <c r="T21" s="12"/>
      <c r="U21" s="12"/>
      <c r="V21" s="12"/>
      <c r="W21" s="26"/>
      <c r="X21" s="26"/>
      <c r="Y21" s="26"/>
      <c r="Z21" s="26"/>
      <c r="AA21" s="12"/>
      <c r="AB21" s="12"/>
      <c r="AC21" s="27"/>
      <c r="AD21" s="3"/>
      <c r="AE21" s="3"/>
      <c r="AF21" s="11"/>
      <c r="AG21" s="11"/>
      <c r="AH21" s="11"/>
      <c r="AI21" s="11"/>
      <c r="AJ21" s="3"/>
      <c r="AK21" s="3"/>
      <c r="AL21" s="25"/>
      <c r="AM21" s="25"/>
    </row>
    <row r="22" spans="1:39" x14ac:dyDescent="0.3">
      <c r="A22" s="720" t="s">
        <v>600</v>
      </c>
      <c r="B22" s="720"/>
      <c r="C22" s="18">
        <f>IF(C21=0,0,(C21/($C$21+$D$21+$E$21+$F$21)))</f>
        <v>0</v>
      </c>
      <c r="D22" s="18">
        <f t="shared" ref="D22:F22" si="1">IF(D21=0,0,(D21/($C$21+$D$21+$E$21+$F$21)))</f>
        <v>0</v>
      </c>
      <c r="E22" s="18">
        <f t="shared" si="1"/>
        <v>0</v>
      </c>
      <c r="F22" s="18">
        <f t="shared" si="1"/>
        <v>0</v>
      </c>
      <c r="G22" s="134">
        <v>0</v>
      </c>
      <c r="H22" s="134">
        <v>0</v>
      </c>
      <c r="I22" s="134">
        <v>0</v>
      </c>
      <c r="J22" s="134">
        <v>0</v>
      </c>
      <c r="K22" s="134">
        <v>0</v>
      </c>
      <c r="L22" s="134">
        <v>0</v>
      </c>
      <c r="M22" s="134">
        <v>0</v>
      </c>
      <c r="N22" s="134">
        <v>0</v>
      </c>
      <c r="O22" s="12"/>
      <c r="P22" s="12"/>
      <c r="Q22" s="12"/>
      <c r="R22" s="12"/>
      <c r="S22" s="12"/>
      <c r="T22" s="12"/>
      <c r="U22" s="12"/>
      <c r="V22" s="12"/>
      <c r="W22" s="26"/>
      <c r="X22" s="26"/>
      <c r="Y22" s="26"/>
      <c r="Z22" s="26"/>
      <c r="AA22" s="12"/>
      <c r="AB22" s="12"/>
      <c r="AC22" s="27"/>
      <c r="AD22" s="3"/>
      <c r="AE22" s="3"/>
      <c r="AF22" s="11"/>
      <c r="AG22" s="11"/>
      <c r="AH22" s="11"/>
      <c r="AI22" s="11"/>
      <c r="AJ22" s="3"/>
      <c r="AK22" s="3"/>
      <c r="AL22" s="25"/>
      <c r="AM22" s="25"/>
    </row>
    <row r="23" spans="1:39" x14ac:dyDescent="0.3">
      <c r="A23"/>
      <c r="B23"/>
      <c r="C23"/>
      <c r="D23"/>
      <c r="E23"/>
      <c r="F23"/>
      <c r="G23"/>
      <c r="H23"/>
      <c r="I23"/>
      <c r="J23"/>
      <c r="K23"/>
      <c r="L23"/>
      <c r="M23"/>
      <c r="N23"/>
      <c r="O23" s="12"/>
      <c r="P23" s="12"/>
      <c r="Q23" s="12"/>
      <c r="R23" s="12"/>
      <c r="S23" s="12"/>
      <c r="T23" s="12"/>
      <c r="U23" s="12"/>
      <c r="V23" s="12"/>
      <c r="W23" s="26"/>
      <c r="X23" s="26"/>
      <c r="Y23" s="26"/>
      <c r="Z23" s="26"/>
      <c r="AA23" s="12"/>
      <c r="AB23" s="12"/>
      <c r="AC23" s="27"/>
      <c r="AD23" s="3"/>
      <c r="AE23" s="3"/>
      <c r="AF23" s="11"/>
      <c r="AG23" s="11"/>
      <c r="AH23" s="11"/>
      <c r="AI23" s="11"/>
      <c r="AJ23" s="3"/>
      <c r="AK23" s="3"/>
      <c r="AL23" s="25"/>
      <c r="AM23" s="25"/>
    </row>
    <row r="24" spans="1:39" x14ac:dyDescent="0.3">
      <c r="A24"/>
      <c r="B24"/>
      <c r="C24"/>
      <c r="D24"/>
      <c r="E24"/>
      <c r="F24"/>
      <c r="G24"/>
      <c r="H24"/>
      <c r="I24"/>
      <c r="J24"/>
      <c r="K24"/>
      <c r="L24"/>
      <c r="M24"/>
      <c r="N24"/>
      <c r="O24" s="12"/>
      <c r="P24" s="12"/>
      <c r="Q24" s="12"/>
      <c r="R24" s="12"/>
      <c r="S24" s="12"/>
      <c r="T24" s="12"/>
      <c r="U24" s="12"/>
      <c r="V24" s="12"/>
      <c r="W24" s="26"/>
      <c r="X24" s="26"/>
      <c r="Y24" s="26"/>
      <c r="Z24" s="26"/>
      <c r="AA24" s="12"/>
      <c r="AB24" s="12"/>
      <c r="AC24" s="27"/>
      <c r="AD24" s="3"/>
      <c r="AE24" s="3"/>
      <c r="AF24" s="11"/>
      <c r="AG24" s="11"/>
      <c r="AH24" s="11"/>
      <c r="AI24" s="11"/>
      <c r="AJ24" s="3"/>
      <c r="AK24" s="3"/>
      <c r="AL24" s="25"/>
      <c r="AM24" s="25"/>
    </row>
    <row r="25" spans="1:39" x14ac:dyDescent="0.3">
      <c r="A25" s="559" t="s">
        <v>611</v>
      </c>
      <c r="B25" s="559"/>
      <c r="C25" s="660"/>
      <c r="D25"/>
      <c r="E25"/>
      <c r="F25"/>
      <c r="G25"/>
      <c r="H25"/>
      <c r="I25"/>
      <c r="J25"/>
      <c r="K25"/>
      <c r="L25"/>
      <c r="M25"/>
      <c r="N25"/>
      <c r="O25" s="28" t="s">
        <v>104</v>
      </c>
      <c r="P25" s="12"/>
      <c r="Q25" s="12"/>
      <c r="R25" s="12"/>
      <c r="S25" s="12"/>
      <c r="T25" s="12"/>
      <c r="U25" s="12"/>
      <c r="V25" s="12"/>
      <c r="W25" s="26"/>
      <c r="X25" s="26"/>
      <c r="Y25" s="26"/>
      <c r="Z25" s="26"/>
      <c r="AA25" s="12"/>
      <c r="AB25" s="12"/>
      <c r="AC25" s="27"/>
      <c r="AD25" s="3"/>
      <c r="AE25" s="3"/>
      <c r="AF25" s="11"/>
      <c r="AG25" s="11"/>
      <c r="AH25" s="11"/>
      <c r="AI25" s="11"/>
      <c r="AJ25" s="3"/>
      <c r="AK25" s="3"/>
      <c r="AL25" s="25"/>
      <c r="AM25" s="25"/>
    </row>
    <row r="26" spans="1:39" s="62" customFormat="1" ht="42.75" customHeight="1" x14ac:dyDescent="0.25">
      <c r="A26" s="678" t="s">
        <v>169</v>
      </c>
      <c r="B26" s="679"/>
      <c r="C26" s="152" t="str">
        <f>IF($B$4="","",($C$16*C22))</f>
        <v/>
      </c>
      <c r="D26" s="152" t="str">
        <f t="shared" ref="D26:N26" si="2">IF($B$4="","",($C$16*D22))</f>
        <v/>
      </c>
      <c r="E26" s="152" t="str">
        <f t="shared" si="2"/>
        <v/>
      </c>
      <c r="F26" s="152" t="str">
        <f t="shared" si="2"/>
        <v/>
      </c>
      <c r="G26" s="152" t="str">
        <f t="shared" si="2"/>
        <v/>
      </c>
      <c r="H26" s="152" t="str">
        <f t="shared" si="2"/>
        <v/>
      </c>
      <c r="I26" s="152" t="str">
        <f t="shared" si="2"/>
        <v/>
      </c>
      <c r="J26" s="152" t="str">
        <f t="shared" si="2"/>
        <v/>
      </c>
      <c r="K26" s="152" t="str">
        <f t="shared" si="2"/>
        <v/>
      </c>
      <c r="L26" s="152" t="str">
        <f t="shared" si="2"/>
        <v/>
      </c>
      <c r="M26" s="152" t="str">
        <f t="shared" si="2"/>
        <v/>
      </c>
      <c r="N26" s="152" t="str">
        <f t="shared" si="2"/>
        <v/>
      </c>
      <c r="O26" s="130">
        <f>SUM(C26:N26)</f>
        <v>0</v>
      </c>
      <c r="P26" s="50"/>
      <c r="Q26" s="50"/>
      <c r="R26" s="50"/>
      <c r="S26" s="50"/>
      <c r="T26" s="50"/>
      <c r="U26" s="50"/>
      <c r="V26" s="50"/>
      <c r="W26" s="50"/>
      <c r="X26" s="50"/>
      <c r="Y26" s="50"/>
      <c r="Z26" s="50"/>
      <c r="AA26" s="50"/>
      <c r="AB26" s="50"/>
      <c r="AC26" s="58"/>
      <c r="AD26" s="59"/>
      <c r="AE26" s="59"/>
      <c r="AF26" s="60"/>
      <c r="AG26" s="60"/>
      <c r="AH26" s="60"/>
      <c r="AI26" s="60"/>
      <c r="AJ26" s="59"/>
      <c r="AK26" s="59"/>
      <c r="AL26" s="61"/>
      <c r="AM26" s="61"/>
    </row>
    <row r="27" spans="1:39" x14ac:dyDescent="0.3">
      <c r="A27" s="45"/>
      <c r="B27" s="45"/>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27"/>
      <c r="AD27" s="3"/>
      <c r="AE27" s="3"/>
      <c r="AF27" s="11"/>
      <c r="AG27" s="11"/>
      <c r="AH27" s="11"/>
      <c r="AI27" s="11"/>
      <c r="AJ27" s="3"/>
      <c r="AK27" s="3"/>
      <c r="AL27" s="25"/>
      <c r="AM27" s="25"/>
    </row>
    <row r="28" spans="1:39" x14ac:dyDescent="0.3">
      <c r="A28" s="700" t="s">
        <v>612</v>
      </c>
      <c r="B28" s="700"/>
      <c r="C28" s="700"/>
    </row>
    <row r="29" spans="1:39" ht="18" x14ac:dyDescent="0.35">
      <c r="A29" s="4" t="s">
        <v>44</v>
      </c>
      <c r="B29" s="713" t="s">
        <v>602</v>
      </c>
      <c r="C29" s="713"/>
      <c r="D29" s="713"/>
      <c r="E29" s="713"/>
    </row>
    <row r="30" spans="1:39" x14ac:dyDescent="0.3">
      <c r="A30" s="6" t="s">
        <v>613</v>
      </c>
      <c r="B30" s="26">
        <v>1.4000000000000001E-4</v>
      </c>
    </row>
    <row r="31" spans="1:39" x14ac:dyDescent="0.3">
      <c r="A31" s="6" t="s">
        <v>614</v>
      </c>
      <c r="B31" s="26">
        <v>1.4000000000000001E-4</v>
      </c>
    </row>
    <row r="32" spans="1:39" x14ac:dyDescent="0.3">
      <c r="A32" s="6" t="s">
        <v>615</v>
      </c>
      <c r="B32" s="26">
        <v>1.4000000000000001E-4</v>
      </c>
    </row>
    <row r="33" spans="1:6" x14ac:dyDescent="0.3">
      <c r="A33" s="6" t="s">
        <v>616</v>
      </c>
      <c r="B33" s="26">
        <v>1.4000000000000001E-4</v>
      </c>
    </row>
    <row r="34" spans="1:6" x14ac:dyDescent="0.3">
      <c r="A34" s="6" t="s">
        <v>617</v>
      </c>
      <c r="B34" s="26">
        <v>5.4000000000000001E-4</v>
      </c>
    </row>
    <row r="35" spans="1:6" x14ac:dyDescent="0.3">
      <c r="A35" s="4" t="s">
        <v>589</v>
      </c>
      <c r="B35" s="30">
        <f>AVERAGE(B30:B34)</f>
        <v>2.2000000000000001E-4</v>
      </c>
      <c r="C35" s="93"/>
      <c r="D35" s="93"/>
      <c r="E35" s="93"/>
      <c r="F35" s="146"/>
    </row>
  </sheetData>
  <mergeCells count="18">
    <mergeCell ref="B29:E29"/>
    <mergeCell ref="A16:B16"/>
    <mergeCell ref="A19:B20"/>
    <mergeCell ref="A21:B21"/>
    <mergeCell ref="A22:B22"/>
    <mergeCell ref="A28:C28"/>
    <mergeCell ref="A25:C25"/>
    <mergeCell ref="A26:B26"/>
    <mergeCell ref="D8:L8"/>
    <mergeCell ref="A13:C13"/>
    <mergeCell ref="A18:C18"/>
    <mergeCell ref="D18:E18"/>
    <mergeCell ref="F18:N18"/>
    <mergeCell ref="E14:K14"/>
    <mergeCell ref="A14:B14"/>
    <mergeCell ref="A10:B10"/>
    <mergeCell ref="A11:B11"/>
    <mergeCell ref="A8:C8"/>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7D23E-DFE1-4501-96CD-B49C589D717A}">
  <sheetPr codeName="Sheet5"/>
  <dimension ref="A1:P49"/>
  <sheetViews>
    <sheetView zoomScale="98" zoomScaleNormal="98" workbookViewId="0">
      <selection activeCell="A2" sqref="A2"/>
    </sheetView>
  </sheetViews>
  <sheetFormatPr defaultColWidth="11.5703125" defaultRowHeight="15" x14ac:dyDescent="0.25"/>
  <cols>
    <col min="1" max="1" width="23.7109375" customWidth="1"/>
    <col min="2" max="2" width="15.7109375" customWidth="1"/>
    <col min="3" max="3" width="23.7109375" customWidth="1"/>
  </cols>
  <sheetData>
    <row r="1" spans="1:16" ht="16.5" x14ac:dyDescent="0.3">
      <c r="A1" s="4" t="s">
        <v>618</v>
      </c>
      <c r="B1" s="7" t="s">
        <v>149</v>
      </c>
      <c r="C1" s="7"/>
      <c r="D1" s="7"/>
      <c r="E1" s="3"/>
      <c r="F1" s="20"/>
      <c r="G1" s="3"/>
      <c r="H1" s="3"/>
      <c r="I1" s="3"/>
      <c r="J1" s="3"/>
      <c r="K1" s="3"/>
      <c r="L1" s="3"/>
      <c r="M1" s="3"/>
      <c r="N1" s="3"/>
      <c r="O1" s="3"/>
      <c r="P1" s="3"/>
    </row>
    <row r="2" spans="1:16" ht="16.5" x14ac:dyDescent="0.3">
      <c r="A2" s="4"/>
      <c r="B2" s="158" t="s">
        <v>5</v>
      </c>
      <c r="C2" s="158"/>
      <c r="D2" s="3"/>
      <c r="E2" s="3"/>
      <c r="F2" s="20"/>
      <c r="G2" s="3"/>
      <c r="H2" s="3"/>
      <c r="I2" s="3"/>
      <c r="J2" s="3"/>
      <c r="K2" s="3"/>
      <c r="L2" s="3"/>
      <c r="M2" s="3"/>
      <c r="N2" s="3"/>
      <c r="O2" s="3"/>
      <c r="P2" s="3"/>
    </row>
    <row r="3" spans="1:16" ht="16.5" x14ac:dyDescent="0.3">
      <c r="A3" s="4"/>
      <c r="B3" s="3"/>
      <c r="C3" s="3"/>
      <c r="D3" s="3"/>
      <c r="E3" s="3"/>
      <c r="F3" s="20"/>
      <c r="G3" s="3"/>
      <c r="H3" s="3"/>
      <c r="I3" s="3"/>
      <c r="J3" s="23"/>
      <c r="K3" s="3"/>
      <c r="L3" s="3"/>
      <c r="M3" s="3"/>
      <c r="N3" s="86"/>
      <c r="O3" s="85"/>
      <c r="P3" s="3"/>
    </row>
    <row r="4" spans="1:16" ht="16.5" x14ac:dyDescent="0.3">
      <c r="A4" s="43" t="s">
        <v>6</v>
      </c>
      <c r="B4" s="57"/>
      <c r="C4" s="24"/>
      <c r="D4" s="24"/>
      <c r="E4" s="24"/>
      <c r="F4" s="20"/>
      <c r="G4" s="3"/>
      <c r="H4" s="3"/>
      <c r="I4" s="3"/>
      <c r="J4" s="98"/>
      <c r="K4" s="12"/>
      <c r="L4" s="3"/>
      <c r="M4" s="3"/>
      <c r="N4" s="85"/>
      <c r="O4" s="103"/>
      <c r="P4" s="3"/>
    </row>
    <row r="5" spans="1:16" ht="16.5" x14ac:dyDescent="0.3">
      <c r="A5" s="43" t="s">
        <v>619</v>
      </c>
      <c r="B5" s="57"/>
      <c r="C5" s="24"/>
      <c r="D5" s="24"/>
      <c r="E5" s="24"/>
      <c r="F5" s="20"/>
      <c r="G5" s="3"/>
      <c r="H5" s="3"/>
      <c r="I5" s="3"/>
      <c r="J5" s="98"/>
      <c r="K5" s="12"/>
      <c r="L5" s="3"/>
      <c r="M5" s="3"/>
      <c r="N5" s="85"/>
      <c r="O5" s="103"/>
      <c r="P5" s="3"/>
    </row>
    <row r="6" spans="1:16" ht="16.5" x14ac:dyDescent="0.3">
      <c r="A6" s="4"/>
      <c r="B6" s="4"/>
      <c r="C6" s="4"/>
      <c r="D6" s="4"/>
      <c r="E6" s="4"/>
      <c r="F6" s="4"/>
      <c r="G6" s="4"/>
      <c r="H6" s="4"/>
      <c r="I6" s="4"/>
      <c r="J6" s="98"/>
      <c r="K6" s="12"/>
      <c r="L6" s="28"/>
      <c r="M6" s="3"/>
      <c r="N6" s="3"/>
      <c r="O6" s="104"/>
      <c r="P6" s="3"/>
    </row>
    <row r="7" spans="1:16" ht="16.5" x14ac:dyDescent="0.3">
      <c r="A7" s="660" t="s">
        <v>620</v>
      </c>
      <c r="B7" s="660"/>
      <c r="C7" s="660"/>
      <c r="D7" s="3"/>
      <c r="E7" s="737" t="s">
        <v>621</v>
      </c>
      <c r="F7" s="738"/>
      <c r="G7" s="738"/>
      <c r="H7" s="738"/>
      <c r="I7" s="739"/>
      <c r="J7" s="98"/>
      <c r="K7" s="3"/>
      <c r="L7" s="3"/>
      <c r="M7" s="3"/>
      <c r="N7" s="3"/>
      <c r="O7" s="104"/>
      <c r="P7" s="3"/>
    </row>
    <row r="8" spans="1:16" ht="18" x14ac:dyDescent="0.3">
      <c r="A8" s="618" t="s">
        <v>622</v>
      </c>
      <c r="B8" s="619"/>
      <c r="C8" s="10"/>
      <c r="D8" s="3"/>
      <c r="E8" s="740" t="s">
        <v>623</v>
      </c>
      <c r="F8" s="623"/>
      <c r="G8" s="623"/>
      <c r="H8" s="623"/>
      <c r="I8" s="741"/>
      <c r="J8" s="98"/>
      <c r="K8" s="12"/>
      <c r="L8" s="3"/>
      <c r="M8" s="3"/>
      <c r="N8" s="3"/>
      <c r="O8" s="104"/>
      <c r="P8" s="3"/>
    </row>
    <row r="9" spans="1:16" ht="18" x14ac:dyDescent="0.3">
      <c r="A9" s="3"/>
      <c r="B9" s="3"/>
      <c r="C9" s="12"/>
      <c r="D9" s="3"/>
      <c r="E9" s="742" t="s">
        <v>624</v>
      </c>
      <c r="F9" s="743"/>
      <c r="G9" s="743"/>
      <c r="H9" s="743"/>
      <c r="I9" s="744"/>
      <c r="J9" s="98"/>
      <c r="K9" s="12"/>
      <c r="L9" s="3"/>
      <c r="M9" s="3"/>
      <c r="N9" s="3"/>
      <c r="O9" s="104"/>
      <c r="P9" s="3"/>
    </row>
    <row r="10" spans="1:16" ht="16.5" x14ac:dyDescent="0.3">
      <c r="A10" s="4"/>
      <c r="B10" s="4"/>
      <c r="C10" s="28"/>
      <c r="D10" s="4"/>
      <c r="E10" s="3"/>
      <c r="F10" s="3"/>
      <c r="G10" s="3"/>
      <c r="H10" s="3"/>
      <c r="I10" s="3"/>
      <c r="J10" s="3"/>
      <c r="K10" s="3"/>
      <c r="L10" s="3"/>
      <c r="M10" s="3"/>
      <c r="N10" s="3"/>
      <c r="O10" s="3"/>
      <c r="P10" s="3"/>
    </row>
    <row r="11" spans="1:16" ht="16.5" x14ac:dyDescent="0.3">
      <c r="A11" s="559" t="s">
        <v>625</v>
      </c>
      <c r="B11" s="559"/>
      <c r="C11" s="559"/>
      <c r="D11" s="661" t="s">
        <v>626</v>
      </c>
      <c r="E11" s="661"/>
      <c r="F11" s="661"/>
      <c r="G11" s="661"/>
      <c r="H11" s="661"/>
      <c r="I11" s="661"/>
      <c r="J11" s="661"/>
      <c r="K11" s="730" t="s">
        <v>627</v>
      </c>
      <c r="L11" s="730"/>
      <c r="M11" s="730"/>
      <c r="N11" s="730"/>
      <c r="O11" s="730"/>
      <c r="P11" s="3"/>
    </row>
    <row r="12" spans="1:16" ht="16.5" x14ac:dyDescent="0.3">
      <c r="A12" s="731"/>
      <c r="B12" s="732"/>
      <c r="C12" s="733"/>
      <c r="D12" s="342" t="s">
        <v>67</v>
      </c>
      <c r="E12" s="342" t="s">
        <v>68</v>
      </c>
      <c r="F12" s="343" t="s">
        <v>69</v>
      </c>
      <c r="G12" s="342" t="s">
        <v>70</v>
      </c>
      <c r="H12" s="342" t="s">
        <v>71</v>
      </c>
      <c r="I12" s="342" t="s">
        <v>72</v>
      </c>
      <c r="J12" s="409" t="s">
        <v>73</v>
      </c>
      <c r="K12" s="407" t="s">
        <v>74</v>
      </c>
      <c r="L12" s="407" t="s">
        <v>75</v>
      </c>
      <c r="M12" s="407" t="s">
        <v>76</v>
      </c>
      <c r="N12" s="407" t="s">
        <v>77</v>
      </c>
      <c r="O12" s="407" t="s">
        <v>78</v>
      </c>
      <c r="P12" s="3"/>
    </row>
    <row r="13" spans="1:16" ht="16.5" x14ac:dyDescent="0.3">
      <c r="A13" s="734"/>
      <c r="B13" s="735"/>
      <c r="C13" s="736"/>
      <c r="D13" s="348" t="s">
        <v>80</v>
      </c>
      <c r="E13" s="348" t="s">
        <v>81</v>
      </c>
      <c r="F13" s="348" t="s">
        <v>82</v>
      </c>
      <c r="G13" s="348" t="s">
        <v>83</v>
      </c>
      <c r="H13" s="348" t="s">
        <v>84</v>
      </c>
      <c r="I13" s="348" t="s">
        <v>85</v>
      </c>
      <c r="J13" s="348" t="s">
        <v>86</v>
      </c>
      <c r="K13" s="408" t="s">
        <v>87</v>
      </c>
      <c r="L13" s="408" t="s">
        <v>88</v>
      </c>
      <c r="M13" s="408" t="s">
        <v>89</v>
      </c>
      <c r="N13" s="408" t="s">
        <v>90</v>
      </c>
      <c r="O13" s="408" t="s">
        <v>91</v>
      </c>
      <c r="P13" s="28"/>
    </row>
    <row r="14" spans="1:16" ht="16.5" x14ac:dyDescent="0.3">
      <c r="A14" s="720" t="s">
        <v>628</v>
      </c>
      <c r="B14" s="720"/>
      <c r="C14" s="720"/>
      <c r="D14" s="102"/>
      <c r="E14" s="102"/>
      <c r="F14" s="102"/>
      <c r="G14" s="102"/>
      <c r="H14" s="102"/>
      <c r="I14" s="102"/>
      <c r="J14" s="102"/>
      <c r="K14" s="122" t="s">
        <v>629</v>
      </c>
      <c r="L14" s="122" t="s">
        <v>629</v>
      </c>
      <c r="M14" s="122" t="s">
        <v>629</v>
      </c>
      <c r="N14" s="122" t="s">
        <v>629</v>
      </c>
      <c r="O14" s="122" t="s">
        <v>629</v>
      </c>
      <c r="P14" s="28"/>
    </row>
    <row r="15" spans="1:16" ht="16.5" x14ac:dyDescent="0.3">
      <c r="A15" s="720" t="s">
        <v>630</v>
      </c>
      <c r="B15" s="720"/>
      <c r="C15" s="720"/>
      <c r="D15" s="71">
        <f>SUM(D14:J14)</f>
        <v>0</v>
      </c>
      <c r="E15" s="71"/>
      <c r="F15" s="71"/>
      <c r="G15" s="71"/>
      <c r="H15" s="71"/>
      <c r="I15" s="71"/>
      <c r="J15" s="71"/>
      <c r="K15" s="92"/>
      <c r="L15" s="92"/>
      <c r="M15" s="92"/>
      <c r="N15" s="92"/>
      <c r="O15" s="92"/>
      <c r="P15" s="28"/>
    </row>
    <row r="16" spans="1:16" ht="16.5" x14ac:dyDescent="0.3">
      <c r="A16" s="720" t="s">
        <v>631</v>
      </c>
      <c r="B16" s="720"/>
      <c r="C16" s="720"/>
      <c r="D16" s="118" t="str">
        <f>IFERROR((D14/$D$15),"")</f>
        <v/>
      </c>
      <c r="E16" s="118" t="str">
        <f>IFERROR((E14/$D$15),"")</f>
        <v/>
      </c>
      <c r="F16" s="118" t="str">
        <f>IFERROR((F14/$D$15),"")</f>
        <v/>
      </c>
      <c r="G16" s="118" t="str">
        <f t="shared" ref="G16:J16" si="0">IFERROR((G14/$D$15),"")</f>
        <v/>
      </c>
      <c r="H16" s="118" t="str">
        <f t="shared" si="0"/>
        <v/>
      </c>
      <c r="I16" s="118" t="str">
        <f t="shared" si="0"/>
        <v/>
      </c>
      <c r="J16" s="118" t="str">
        <f t="shared" si="0"/>
        <v/>
      </c>
      <c r="K16" s="150">
        <v>0</v>
      </c>
      <c r="L16" s="150">
        <v>0</v>
      </c>
      <c r="M16" s="150">
        <v>0</v>
      </c>
      <c r="N16" s="150">
        <v>0</v>
      </c>
      <c r="O16" s="150">
        <v>0</v>
      </c>
      <c r="P16" s="28"/>
    </row>
    <row r="17" spans="1:16" ht="16.5" x14ac:dyDescent="0.3">
      <c r="A17" s="720" t="s">
        <v>632</v>
      </c>
      <c r="B17" s="720"/>
      <c r="C17" s="720"/>
      <c r="D17" s="144"/>
      <c r="E17" s="144"/>
      <c r="F17" s="144"/>
      <c r="G17" s="144"/>
      <c r="H17" s="144"/>
      <c r="I17" s="144"/>
      <c r="J17" s="144"/>
      <c r="K17" s="150">
        <v>0</v>
      </c>
      <c r="L17" s="150">
        <v>0</v>
      </c>
      <c r="M17" s="150">
        <v>0</v>
      </c>
      <c r="N17" s="150">
        <v>0</v>
      </c>
      <c r="O17" s="150">
        <v>0</v>
      </c>
      <c r="P17" s="28"/>
    </row>
    <row r="18" spans="1:16" ht="16.5" x14ac:dyDescent="0.3">
      <c r="A18" s="162" t="s">
        <v>836</v>
      </c>
      <c r="B18" s="162"/>
      <c r="C18" s="162"/>
      <c r="D18" s="755"/>
      <c r="E18" s="153"/>
      <c r="F18" s="153"/>
      <c r="G18" s="153"/>
      <c r="H18" s="153"/>
      <c r="I18" s="153"/>
      <c r="J18" s="153"/>
      <c r="K18" s="173"/>
      <c r="L18" s="173"/>
      <c r="M18" s="173"/>
      <c r="N18" s="173"/>
      <c r="O18" s="173"/>
      <c r="P18" s="28"/>
    </row>
    <row r="19" spans="1:16" ht="16.5" x14ac:dyDescent="0.3">
      <c r="A19" s="715" t="s">
        <v>837</v>
      </c>
      <c r="B19" s="727"/>
      <c r="C19" s="716"/>
      <c r="D19" s="288" t="str">
        <f>IFERROR($D$18/D17,"")</f>
        <v/>
      </c>
      <c r="E19" s="288" t="str">
        <f t="shared" ref="E19:J19" si="1">IFERROR($D$18/E17,"")</f>
        <v/>
      </c>
      <c r="F19" s="288" t="str">
        <f t="shared" si="1"/>
        <v/>
      </c>
      <c r="G19" s="288" t="str">
        <f t="shared" si="1"/>
        <v/>
      </c>
      <c r="H19" s="288" t="str">
        <f t="shared" si="1"/>
        <v/>
      </c>
      <c r="I19" s="288" t="str">
        <f t="shared" si="1"/>
        <v/>
      </c>
      <c r="J19" s="288" t="str">
        <f t="shared" si="1"/>
        <v/>
      </c>
      <c r="K19" s="173"/>
      <c r="L19" s="173"/>
      <c r="M19" s="173"/>
      <c r="N19" s="173"/>
      <c r="O19" s="173"/>
      <c r="P19" s="28"/>
    </row>
    <row r="20" spans="1:16" ht="16.5" x14ac:dyDescent="0.3">
      <c r="A20" s="23"/>
      <c r="B20" s="23"/>
      <c r="C20" s="172"/>
      <c r="D20" s="153"/>
      <c r="E20" s="153"/>
      <c r="F20" s="153"/>
      <c r="G20" s="153"/>
      <c r="H20" s="153"/>
      <c r="I20" s="153"/>
      <c r="J20" s="153"/>
      <c r="K20" s="173"/>
      <c r="L20" s="173"/>
      <c r="M20" s="173"/>
      <c r="N20" s="173"/>
      <c r="O20" s="173"/>
      <c r="P20" s="28"/>
    </row>
    <row r="21" spans="1:16" ht="16.5" x14ac:dyDescent="0.3">
      <c r="A21" s="720" t="s">
        <v>633</v>
      </c>
      <c r="B21" s="720"/>
      <c r="C21" s="720"/>
      <c r="D21" s="153"/>
      <c r="E21" s="153"/>
      <c r="F21" s="153"/>
      <c r="G21" s="153"/>
      <c r="H21" s="153"/>
      <c r="I21" s="153"/>
      <c r="J21" s="154"/>
      <c r="K21" s="173"/>
      <c r="L21" s="173"/>
      <c r="M21" s="173"/>
      <c r="N21" s="173"/>
      <c r="O21" s="173"/>
      <c r="P21" s="28"/>
    </row>
    <row r="22" spans="1:16" ht="16.5" x14ac:dyDescent="0.3">
      <c r="A22" s="728" t="s">
        <v>634</v>
      </c>
      <c r="B22" s="728"/>
      <c r="C22" s="729"/>
      <c r="D22" s="121"/>
      <c r="E22" s="121"/>
      <c r="F22" s="121"/>
      <c r="G22" s="121"/>
      <c r="H22" s="121"/>
      <c r="I22" s="121"/>
      <c r="J22" s="121"/>
      <c r="K22" s="150">
        <v>0</v>
      </c>
      <c r="L22" s="150">
        <v>0</v>
      </c>
      <c r="M22" s="150">
        <v>0</v>
      </c>
      <c r="N22" s="150">
        <v>0</v>
      </c>
      <c r="O22" s="150">
        <v>0</v>
      </c>
      <c r="P22" s="3"/>
    </row>
    <row r="23" spans="1:16" ht="16.5" x14ac:dyDescent="0.3">
      <c r="A23" s="728" t="s">
        <v>635</v>
      </c>
      <c r="B23" s="728"/>
      <c r="C23" s="729"/>
      <c r="D23" s="121"/>
      <c r="E23" s="121"/>
      <c r="F23" s="121"/>
      <c r="G23" s="121"/>
      <c r="H23" s="121"/>
      <c r="I23" s="121"/>
      <c r="J23" s="121"/>
      <c r="K23" s="150">
        <v>0</v>
      </c>
      <c r="L23" s="150">
        <v>0</v>
      </c>
      <c r="M23" s="150">
        <v>0</v>
      </c>
      <c r="N23" s="150">
        <v>0</v>
      </c>
      <c r="O23" s="150">
        <v>0</v>
      </c>
      <c r="P23" s="28"/>
    </row>
    <row r="24" spans="1:16" ht="16.5" x14ac:dyDescent="0.3">
      <c r="A24" s="728" t="s">
        <v>636</v>
      </c>
      <c r="B24" s="728"/>
      <c r="C24" s="729"/>
      <c r="D24" s="121"/>
      <c r="E24" s="121"/>
      <c r="F24" s="121"/>
      <c r="G24" s="121"/>
      <c r="H24" s="121"/>
      <c r="I24" s="121"/>
      <c r="J24" s="121"/>
      <c r="K24" s="150">
        <v>0</v>
      </c>
      <c r="L24" s="150">
        <v>0</v>
      </c>
      <c r="M24" s="150">
        <v>0</v>
      </c>
      <c r="N24" s="150">
        <v>0</v>
      </c>
      <c r="O24" s="150">
        <v>0</v>
      </c>
      <c r="P24" s="28"/>
    </row>
    <row r="25" spans="1:16" ht="16.5" x14ac:dyDescent="0.3">
      <c r="A25" s="728" t="s">
        <v>637</v>
      </c>
      <c r="B25" s="728"/>
      <c r="C25" s="729"/>
      <c r="D25" s="121"/>
      <c r="E25" s="121"/>
      <c r="F25" s="121"/>
      <c r="G25" s="121"/>
      <c r="H25" s="121"/>
      <c r="I25" s="121"/>
      <c r="J25" s="121"/>
      <c r="K25" s="150">
        <v>0</v>
      </c>
      <c r="L25" s="150">
        <v>0</v>
      </c>
      <c r="M25" s="150">
        <v>0</v>
      </c>
      <c r="N25" s="150">
        <v>0</v>
      </c>
      <c r="O25" s="150">
        <v>0</v>
      </c>
      <c r="P25" s="28"/>
    </row>
    <row r="26" spans="1:16" ht="16.5" x14ac:dyDescent="0.3">
      <c r="A26" s="728" t="s">
        <v>638</v>
      </c>
      <c r="B26" s="728"/>
      <c r="C26" s="729"/>
      <c r="D26" s="121"/>
      <c r="E26" s="121"/>
      <c r="F26" s="121"/>
      <c r="G26" s="121"/>
      <c r="H26" s="121"/>
      <c r="I26" s="121"/>
      <c r="J26" s="121"/>
      <c r="K26" s="150">
        <v>0</v>
      </c>
      <c r="L26" s="150">
        <v>0</v>
      </c>
      <c r="M26" s="150">
        <v>0</v>
      </c>
      <c r="N26" s="150">
        <v>0</v>
      </c>
      <c r="O26" s="150">
        <v>0</v>
      </c>
      <c r="P26" s="28"/>
    </row>
    <row r="27" spans="1:16" ht="16.5" x14ac:dyDescent="0.3">
      <c r="A27" s="728" t="s">
        <v>639</v>
      </c>
      <c r="B27" s="728"/>
      <c r="C27" s="729"/>
      <c r="D27" s="121"/>
      <c r="E27" s="121"/>
      <c r="F27" s="121"/>
      <c r="G27" s="121"/>
      <c r="H27" s="121"/>
      <c r="I27" s="121"/>
      <c r="J27" s="121"/>
      <c r="K27" s="150">
        <v>0</v>
      </c>
      <c r="L27" s="150">
        <v>0</v>
      </c>
      <c r="M27" s="150">
        <v>0</v>
      </c>
      <c r="N27" s="150">
        <v>0</v>
      </c>
      <c r="O27" s="150">
        <v>0</v>
      </c>
      <c r="P27" s="28"/>
    </row>
    <row r="28" spans="1:16" ht="16.5" x14ac:dyDescent="0.3">
      <c r="A28" s="728" t="s">
        <v>640</v>
      </c>
      <c r="B28" s="728"/>
      <c r="C28" s="729"/>
      <c r="D28" s="121"/>
      <c r="E28" s="121"/>
      <c r="F28" s="121"/>
      <c r="G28" s="121"/>
      <c r="H28" s="121"/>
      <c r="I28" s="121"/>
      <c r="J28" s="121"/>
      <c r="K28" s="150">
        <v>0</v>
      </c>
      <c r="L28" s="150">
        <v>0</v>
      </c>
      <c r="M28" s="150">
        <v>0</v>
      </c>
      <c r="N28" s="150">
        <v>0</v>
      </c>
      <c r="O28" s="150">
        <v>0</v>
      </c>
      <c r="P28" s="28"/>
    </row>
    <row r="29" spans="1:16" ht="16.5" x14ac:dyDescent="0.3">
      <c r="A29" s="728" t="s">
        <v>641</v>
      </c>
      <c r="B29" s="728"/>
      <c r="C29" s="729"/>
      <c r="D29" s="121"/>
      <c r="E29" s="121"/>
      <c r="F29" s="121"/>
      <c r="G29" s="121"/>
      <c r="H29" s="121"/>
      <c r="I29" s="121"/>
      <c r="J29" s="121"/>
      <c r="K29" s="150">
        <v>0</v>
      </c>
      <c r="L29" s="150">
        <v>0</v>
      </c>
      <c r="M29" s="150">
        <v>0</v>
      </c>
      <c r="N29" s="150">
        <v>0</v>
      </c>
      <c r="O29" s="150">
        <v>0</v>
      </c>
      <c r="P29" s="28"/>
    </row>
    <row r="30" spans="1:16" ht="16.5" x14ac:dyDescent="0.3">
      <c r="A30" s="728" t="s">
        <v>642</v>
      </c>
      <c r="B30" s="728"/>
      <c r="C30" s="729"/>
      <c r="D30" s="121"/>
      <c r="E30" s="121"/>
      <c r="F30" s="121"/>
      <c r="G30" s="121"/>
      <c r="H30" s="121"/>
      <c r="I30" s="121"/>
      <c r="J30" s="121"/>
      <c r="K30" s="150">
        <v>0</v>
      </c>
      <c r="L30" s="150">
        <v>0</v>
      </c>
      <c r="M30" s="150">
        <v>0</v>
      </c>
      <c r="N30" s="150">
        <v>0</v>
      </c>
      <c r="O30" s="150">
        <v>0</v>
      </c>
      <c r="P30" s="28"/>
    </row>
    <row r="31" spans="1:16" ht="16.5" x14ac:dyDescent="0.3">
      <c r="A31" s="720" t="s">
        <v>643</v>
      </c>
      <c r="B31" s="720"/>
      <c r="C31" s="720"/>
      <c r="D31" s="121"/>
      <c r="E31" s="121"/>
      <c r="F31" s="121"/>
      <c r="G31" s="121"/>
      <c r="H31" s="121"/>
      <c r="I31" s="121"/>
      <c r="J31" s="121"/>
      <c r="K31" s="150">
        <v>0</v>
      </c>
      <c r="L31" s="150">
        <v>0</v>
      </c>
      <c r="M31" s="150">
        <v>0</v>
      </c>
      <c r="N31" s="150">
        <v>0</v>
      </c>
      <c r="O31" s="150">
        <v>0</v>
      </c>
      <c r="P31" s="28"/>
    </row>
    <row r="32" spans="1:16" ht="16.5" x14ac:dyDescent="0.3">
      <c r="A32" s="23"/>
      <c r="B32" s="23"/>
      <c r="C32" s="23"/>
      <c r="D32" s="166"/>
      <c r="E32" s="166"/>
      <c r="F32" s="166"/>
      <c r="G32" s="166"/>
      <c r="H32" s="166"/>
      <c r="I32" s="166"/>
      <c r="J32" s="166"/>
      <c r="K32" s="173"/>
      <c r="L32" s="173"/>
      <c r="M32" s="173"/>
      <c r="N32" s="173"/>
      <c r="O32" s="173"/>
      <c r="P32" s="28"/>
    </row>
    <row r="33" spans="1:16" ht="16.5" x14ac:dyDescent="0.3">
      <c r="A33" s="724" t="s">
        <v>644</v>
      </c>
      <c r="B33" s="724"/>
      <c r="C33" s="724"/>
      <c r="D33" s="155">
        <f>SUM(D22:D31)</f>
        <v>0</v>
      </c>
      <c r="E33" s="155">
        <f t="shared" ref="E33:J33" si="2">SUM(E22:E31)</f>
        <v>0</v>
      </c>
      <c r="F33" s="155">
        <f t="shared" si="2"/>
        <v>0</v>
      </c>
      <c r="G33" s="155">
        <f t="shared" si="2"/>
        <v>0</v>
      </c>
      <c r="H33" s="155">
        <f t="shared" si="2"/>
        <v>0</v>
      </c>
      <c r="I33" s="155">
        <f t="shared" si="2"/>
        <v>0</v>
      </c>
      <c r="J33" s="155">
        <f t="shared" si="2"/>
        <v>0</v>
      </c>
      <c r="K33" s="289">
        <v>0</v>
      </c>
      <c r="L33" s="150">
        <v>0</v>
      </c>
      <c r="M33" s="150">
        <v>0</v>
      </c>
      <c r="N33" s="150">
        <v>0</v>
      </c>
      <c r="O33" s="150">
        <v>0</v>
      </c>
      <c r="P33" s="28"/>
    </row>
    <row r="34" spans="1:16" ht="16.5" x14ac:dyDescent="0.3">
      <c r="A34" s="23" t="s">
        <v>838</v>
      </c>
      <c r="B34" s="23"/>
      <c r="C34" s="23"/>
      <c r="D34" s="155" t="str">
        <f>IFERROR((D33/D17*100),"")</f>
        <v/>
      </c>
      <c r="E34" s="155" t="str">
        <f>IFERROR((E33/E17*100),"")</f>
        <v/>
      </c>
      <c r="F34" s="155" t="str">
        <f t="shared" ref="F34:J34" si="3">IFERROR((F33/F17*100),"")</f>
        <v/>
      </c>
      <c r="G34" s="155" t="str">
        <f t="shared" si="3"/>
        <v/>
      </c>
      <c r="H34" s="155" t="str">
        <f t="shared" si="3"/>
        <v/>
      </c>
      <c r="I34" s="155" t="str">
        <f t="shared" si="3"/>
        <v/>
      </c>
      <c r="J34" s="155" t="str">
        <f t="shared" si="3"/>
        <v/>
      </c>
      <c r="K34" s="173"/>
      <c r="L34" s="173"/>
      <c r="M34" s="173"/>
      <c r="N34" s="173"/>
      <c r="O34" s="173"/>
      <c r="P34" s="28"/>
    </row>
    <row r="35" spans="1:16" ht="16.5" x14ac:dyDescent="0.3">
      <c r="A35" s="4" t="s">
        <v>839</v>
      </c>
      <c r="B35" s="4"/>
      <c r="C35" s="4"/>
      <c r="D35" s="290" t="str">
        <f>IFERROR(D33*D19,"")</f>
        <v/>
      </c>
      <c r="E35" s="290" t="str">
        <f t="shared" ref="E35:J35" si="4">IFERROR(E33*E19,"")</f>
        <v/>
      </c>
      <c r="F35" s="290" t="str">
        <f t="shared" si="4"/>
        <v/>
      </c>
      <c r="G35" s="290" t="str">
        <f t="shared" si="4"/>
        <v/>
      </c>
      <c r="H35" s="290" t="str">
        <f t="shared" si="4"/>
        <v/>
      </c>
      <c r="I35" s="290" t="str">
        <f t="shared" si="4"/>
        <v/>
      </c>
      <c r="J35" s="290" t="str">
        <f t="shared" si="4"/>
        <v/>
      </c>
      <c r="K35" s="145"/>
      <c r="L35" s="145"/>
      <c r="M35" s="145"/>
      <c r="N35" s="145"/>
      <c r="O35" s="145"/>
      <c r="P35" s="72"/>
    </row>
    <row r="36" spans="1:16" ht="16.5" x14ac:dyDescent="0.3">
      <c r="A36" s="4"/>
      <c r="B36" s="4"/>
      <c r="C36" s="4"/>
      <c r="D36" s="93"/>
      <c r="E36" s="93"/>
      <c r="F36" s="93"/>
      <c r="G36" s="93"/>
      <c r="H36" s="93"/>
      <c r="I36" s="93"/>
      <c r="J36" s="93"/>
      <c r="K36" s="145"/>
      <c r="L36" s="145"/>
      <c r="M36" s="145"/>
      <c r="N36" s="145"/>
      <c r="O36" s="145"/>
      <c r="P36" s="72"/>
    </row>
    <row r="37" spans="1:16" ht="16.5" x14ac:dyDescent="0.3">
      <c r="A37" s="725" t="s">
        <v>645</v>
      </c>
      <c r="B37" s="725"/>
      <c r="C37" s="726"/>
      <c r="D37" s="164">
        <f>SUMPRODUCT(D34:J34,D16:J16)</f>
        <v>0</v>
      </c>
      <c r="E37" s="151"/>
      <c r="F37" s="3"/>
      <c r="G37" s="20"/>
      <c r="H37" s="3"/>
      <c r="I37" s="3"/>
      <c r="J37" s="3"/>
      <c r="K37" s="98"/>
      <c r="L37" s="12"/>
      <c r="M37" s="3"/>
      <c r="N37" s="3"/>
      <c r="O37" s="3"/>
      <c r="P37" s="36"/>
    </row>
    <row r="38" spans="1:16" ht="18.75" x14ac:dyDescent="0.35">
      <c r="A38" s="725" t="s">
        <v>646</v>
      </c>
      <c r="B38" s="725"/>
      <c r="C38" s="726"/>
      <c r="D38" s="164">
        <f>D37*C8</f>
        <v>0</v>
      </c>
      <c r="E38" s="124"/>
      <c r="F38" s="3"/>
      <c r="G38" s="20"/>
      <c r="H38" s="3"/>
      <c r="I38" s="3"/>
      <c r="J38" s="3"/>
      <c r="K38" s="98"/>
      <c r="L38" s="12"/>
      <c r="M38" s="3"/>
      <c r="N38" s="3"/>
      <c r="O38" s="3"/>
      <c r="P38" s="36"/>
    </row>
    <row r="39" spans="1:16" ht="16.5" x14ac:dyDescent="0.3">
      <c r="A39" s="3"/>
      <c r="B39" s="3"/>
      <c r="C39" s="3"/>
      <c r="D39" s="104"/>
      <c r="E39" s="3"/>
      <c r="F39" s="3"/>
      <c r="G39" s="20"/>
      <c r="H39" s="3"/>
      <c r="I39" s="3"/>
      <c r="J39" s="3"/>
      <c r="K39" s="98"/>
      <c r="L39" s="12"/>
      <c r="M39" s="3"/>
      <c r="N39" s="3"/>
      <c r="O39" s="3"/>
      <c r="P39" s="104"/>
    </row>
    <row r="40" spans="1:16" ht="18" x14ac:dyDescent="0.3">
      <c r="A40" s="559" t="s">
        <v>647</v>
      </c>
      <c r="B40" s="559"/>
      <c r="C40" s="559"/>
      <c r="D40" s="4"/>
      <c r="E40" s="4"/>
      <c r="F40" s="42"/>
      <c r="G40" s="42"/>
      <c r="H40" s="42"/>
      <c r="I40" s="42"/>
      <c r="J40" s="42"/>
      <c r="K40" s="3"/>
      <c r="L40" s="3"/>
      <c r="M40" s="3"/>
      <c r="N40" s="3"/>
      <c r="O40" s="3"/>
      <c r="P40" s="28" t="s">
        <v>104</v>
      </c>
    </row>
    <row r="41" spans="1:16" ht="16.5" x14ac:dyDescent="0.25">
      <c r="A41" s="714" t="s">
        <v>169</v>
      </c>
      <c r="B41" s="714"/>
      <c r="C41" s="714"/>
      <c r="D41" s="152" t="str">
        <f>IF($B$4="","",(IFERROR((($D$38/1000)*D16),0)))</f>
        <v/>
      </c>
      <c r="E41" s="152" t="str">
        <f t="shared" ref="E41:O41" si="5">IF($B$4="","",(IFERROR((($D$38/1000)*E16),0)))</f>
        <v/>
      </c>
      <c r="F41" s="152" t="str">
        <f t="shared" si="5"/>
        <v/>
      </c>
      <c r="G41" s="152" t="str">
        <f t="shared" si="5"/>
        <v/>
      </c>
      <c r="H41" s="152" t="str">
        <f t="shared" si="5"/>
        <v/>
      </c>
      <c r="I41" s="152" t="str">
        <f t="shared" si="5"/>
        <v/>
      </c>
      <c r="J41" s="152" t="str">
        <f t="shared" si="5"/>
        <v/>
      </c>
      <c r="K41" s="152" t="str">
        <f t="shared" si="5"/>
        <v/>
      </c>
      <c r="L41" s="152" t="str">
        <f t="shared" si="5"/>
        <v/>
      </c>
      <c r="M41" s="152" t="str">
        <f t="shared" si="5"/>
        <v/>
      </c>
      <c r="N41" s="152" t="str">
        <f t="shared" si="5"/>
        <v/>
      </c>
      <c r="O41" s="152" t="str">
        <f t="shared" si="5"/>
        <v/>
      </c>
      <c r="P41" s="130">
        <f>SUM(D41:J41)</f>
        <v>0</v>
      </c>
    </row>
    <row r="49" spans="5:5" x14ac:dyDescent="0.25">
      <c r="E49" s="291"/>
    </row>
  </sheetData>
  <mergeCells count="30">
    <mergeCell ref="A17:C17"/>
    <mergeCell ref="A7:C7"/>
    <mergeCell ref="E7:I7"/>
    <mergeCell ref="A8:B8"/>
    <mergeCell ref="E8:I8"/>
    <mergeCell ref="E9:I9"/>
    <mergeCell ref="A11:C11"/>
    <mergeCell ref="D11:J11"/>
    <mergeCell ref="K11:O11"/>
    <mergeCell ref="A12:C13"/>
    <mergeCell ref="A14:C14"/>
    <mergeCell ref="A15:C15"/>
    <mergeCell ref="A16:C16"/>
    <mergeCell ref="A31:C31"/>
    <mergeCell ref="A19:C19"/>
    <mergeCell ref="A21:C21"/>
    <mergeCell ref="A22:C22"/>
    <mergeCell ref="A23:C23"/>
    <mergeCell ref="A24:C24"/>
    <mergeCell ref="A25:C25"/>
    <mergeCell ref="A26:C26"/>
    <mergeCell ref="A27:C27"/>
    <mergeCell ref="A28:C28"/>
    <mergeCell ref="A29:C29"/>
    <mergeCell ref="A30:C30"/>
    <mergeCell ref="A33:C33"/>
    <mergeCell ref="A37:C37"/>
    <mergeCell ref="A38:C38"/>
    <mergeCell ref="A40:C40"/>
    <mergeCell ref="A41:C41"/>
  </mergeCells>
  <pageMargins left="0.7" right="0.7" top="0.75" bottom="0.75" header="0.3" footer="0.3"/>
  <pageSetup paperSize="9"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4"/>
  <dimension ref="A1:AM44"/>
  <sheetViews>
    <sheetView zoomScale="80" zoomScaleNormal="80" workbookViewId="0">
      <selection activeCell="F1" sqref="F1"/>
    </sheetView>
  </sheetViews>
  <sheetFormatPr defaultColWidth="8.85546875" defaultRowHeight="16.5" x14ac:dyDescent="0.3"/>
  <cols>
    <col min="1" max="1" width="24.140625" style="3" customWidth="1"/>
    <col min="2" max="15" width="14.85546875" style="3" customWidth="1"/>
    <col min="16" max="18" width="8.85546875" style="3"/>
    <col min="19" max="19" width="8.85546875" style="11"/>
    <col min="20" max="16384" width="8.85546875" style="3"/>
  </cols>
  <sheetData>
    <row r="1" spans="1:39" x14ac:dyDescent="0.3">
      <c r="A1" s="4" t="s">
        <v>648</v>
      </c>
      <c r="B1" s="7" t="s">
        <v>149</v>
      </c>
      <c r="C1" s="7"/>
      <c r="D1" s="7"/>
    </row>
    <row r="2" spans="1:39" x14ac:dyDescent="0.3">
      <c r="A2" s="4"/>
      <c r="B2" s="158" t="s">
        <v>5</v>
      </c>
      <c r="C2" s="158"/>
    </row>
    <row r="3" spans="1:39" x14ac:dyDescent="0.3">
      <c r="A3" s="4"/>
      <c r="D3" s="24"/>
      <c r="E3" s="24"/>
      <c r="F3" s="20"/>
    </row>
    <row r="4" spans="1:39" x14ac:dyDescent="0.3">
      <c r="A4" s="43" t="s">
        <v>6</v>
      </c>
      <c r="B4" s="57"/>
      <c r="C4" s="24"/>
      <c r="D4" s="24"/>
      <c r="E4" s="24"/>
      <c r="F4" s="20"/>
    </row>
    <row r="5" spans="1:39" x14ac:dyDescent="0.3">
      <c r="A5" s="43" t="s">
        <v>7</v>
      </c>
      <c r="B5" s="57"/>
      <c r="C5" s="24"/>
      <c r="D5" s="24"/>
      <c r="E5" s="24"/>
      <c r="F5" s="20"/>
    </row>
    <row r="6" spans="1:39" ht="18" x14ac:dyDescent="0.3">
      <c r="A6" s="43" t="s">
        <v>8</v>
      </c>
      <c r="B6" s="57"/>
      <c r="C6" s="24" t="s">
        <v>835</v>
      </c>
      <c r="D6" s="24"/>
      <c r="E6" s="24"/>
      <c r="F6" s="4"/>
      <c r="G6" s="4"/>
      <c r="H6" s="4"/>
      <c r="I6" s="4"/>
    </row>
    <row r="7" spans="1:39" x14ac:dyDescent="0.3">
      <c r="A7" s="700"/>
      <c r="B7" s="700"/>
      <c r="C7" s="700"/>
      <c r="D7" s="700"/>
      <c r="E7" s="4"/>
      <c r="J7" s="4"/>
      <c r="K7" s="4"/>
      <c r="L7" s="28"/>
      <c r="M7" s="28"/>
      <c r="N7" s="28"/>
      <c r="O7" s="28"/>
      <c r="P7" s="28"/>
      <c r="Q7" s="28"/>
      <c r="R7" s="28"/>
      <c r="S7" s="72"/>
      <c r="T7" s="28"/>
      <c r="U7" s="28"/>
      <c r="V7" s="28"/>
      <c r="W7" s="28"/>
      <c r="X7" s="28"/>
      <c r="Y7" s="28"/>
      <c r="Z7" s="28"/>
      <c r="AA7" s="32"/>
      <c r="AB7" s="4"/>
      <c r="AC7" s="4"/>
      <c r="AD7" s="33"/>
      <c r="AE7" s="33"/>
      <c r="AF7" s="33"/>
      <c r="AG7" s="33"/>
      <c r="AH7" s="4"/>
      <c r="AI7" s="4"/>
      <c r="AJ7" s="4"/>
      <c r="AK7" s="4"/>
    </row>
    <row r="8" spans="1:39" x14ac:dyDescent="0.3">
      <c r="A8" s="43" t="s">
        <v>954</v>
      </c>
      <c r="B8" s="43"/>
      <c r="C8" s="661" t="s">
        <v>649</v>
      </c>
      <c r="D8" s="661"/>
      <c r="E8" s="661"/>
      <c r="F8" s="661"/>
      <c r="G8" s="661"/>
      <c r="H8" s="661"/>
      <c r="I8" s="4"/>
      <c r="J8" s="4"/>
      <c r="K8" s="4"/>
      <c r="L8" s="28"/>
      <c r="M8" s="28"/>
      <c r="N8" s="28"/>
      <c r="O8" s="28"/>
      <c r="P8" s="28"/>
      <c r="Q8" s="28"/>
      <c r="R8" s="28"/>
      <c r="S8" s="72"/>
      <c r="T8" s="28"/>
      <c r="U8" s="28"/>
      <c r="V8" s="28"/>
      <c r="W8" s="28"/>
      <c r="X8" s="28"/>
      <c r="Y8" s="28"/>
      <c r="Z8" s="28"/>
      <c r="AA8" s="32"/>
      <c r="AB8" s="4"/>
      <c r="AC8" s="4"/>
      <c r="AD8" s="33"/>
      <c r="AE8" s="33"/>
      <c r="AF8" s="33"/>
      <c r="AG8" s="33"/>
      <c r="AH8" s="4"/>
      <c r="AI8" s="4"/>
      <c r="AJ8" s="4"/>
      <c r="AK8" s="4"/>
    </row>
    <row r="9" spans="1:39" ht="51" x14ac:dyDescent="0.3">
      <c r="A9" s="690" t="s">
        <v>44</v>
      </c>
      <c r="B9" s="691"/>
      <c r="C9" s="339" t="s">
        <v>151</v>
      </c>
      <c r="D9" s="339" t="s">
        <v>153</v>
      </c>
      <c r="E9" s="354" t="s">
        <v>650</v>
      </c>
      <c r="F9" s="683" t="s">
        <v>154</v>
      </c>
      <c r="G9" s="683"/>
      <c r="H9" s="683"/>
    </row>
    <row r="10" spans="1:39" ht="16.5" customHeight="1" x14ac:dyDescent="0.3">
      <c r="A10" s="745"/>
      <c r="B10" s="745"/>
      <c r="C10" s="39">
        <v>1</v>
      </c>
      <c r="D10" s="55"/>
      <c r="E10" s="96"/>
      <c r="F10" s="746"/>
      <c r="G10" s="746"/>
      <c r="H10" s="746"/>
    </row>
    <row r="11" spans="1:39" x14ac:dyDescent="0.3">
      <c r="A11" s="745"/>
      <c r="B11" s="745"/>
      <c r="C11" s="39">
        <v>2</v>
      </c>
      <c r="D11" s="56"/>
      <c r="E11" s="96"/>
      <c r="F11" s="746"/>
      <c r="G11" s="746"/>
      <c r="H11" s="746"/>
    </row>
    <row r="12" spans="1:39" x14ac:dyDescent="0.3">
      <c r="A12" s="745"/>
      <c r="B12" s="745"/>
      <c r="C12" s="39">
        <v>3</v>
      </c>
      <c r="D12" s="56"/>
      <c r="E12" s="96"/>
      <c r="F12" s="746"/>
      <c r="G12" s="746"/>
      <c r="H12" s="746"/>
    </row>
    <row r="13" spans="1:39" x14ac:dyDescent="0.3">
      <c r="A13" s="28"/>
      <c r="B13" s="6"/>
      <c r="C13" s="148"/>
      <c r="D13" s="148"/>
      <c r="E13" s="12"/>
      <c r="F13" s="4"/>
      <c r="I13" s="12"/>
      <c r="J13" s="12"/>
      <c r="K13" s="12"/>
      <c r="L13" s="12"/>
      <c r="M13" s="12"/>
      <c r="N13" s="12"/>
      <c r="O13" s="12"/>
      <c r="P13" s="12"/>
      <c r="Q13" s="12"/>
      <c r="R13" s="12"/>
      <c r="S13" s="72"/>
    </row>
    <row r="14" spans="1:39" x14ac:dyDescent="0.3">
      <c r="E14" s="12"/>
      <c r="F14" s="12"/>
      <c r="I14" s="20"/>
    </row>
    <row r="15" spans="1:39" x14ac:dyDescent="0.3">
      <c r="A15" s="559" t="s">
        <v>945</v>
      </c>
      <c r="B15" s="559"/>
      <c r="C15" s="661" t="s">
        <v>651</v>
      </c>
      <c r="D15" s="661"/>
      <c r="E15" s="661"/>
      <c r="F15" s="661"/>
      <c r="G15" s="661"/>
      <c r="H15" s="661"/>
      <c r="I15" s="661"/>
      <c r="J15" s="661"/>
      <c r="K15" s="661"/>
      <c r="L15" s="661"/>
      <c r="M15" s="661"/>
      <c r="N15" s="661"/>
      <c r="O15" s="12"/>
      <c r="P15" s="12"/>
      <c r="Q15" s="12"/>
      <c r="R15" s="12"/>
      <c r="S15" s="36"/>
      <c r="T15" s="12"/>
      <c r="U15" s="12"/>
      <c r="V15" s="12"/>
      <c r="W15" s="26"/>
      <c r="X15" s="26"/>
      <c r="Y15" s="26"/>
      <c r="Z15" s="26"/>
      <c r="AA15" s="12"/>
      <c r="AB15" s="12"/>
      <c r="AC15" s="27"/>
      <c r="AF15" s="11"/>
      <c r="AG15" s="11"/>
      <c r="AH15" s="11"/>
      <c r="AI15" s="11"/>
      <c r="AL15" s="25"/>
      <c r="AM15" s="25"/>
    </row>
    <row r="16" spans="1:39" x14ac:dyDescent="0.3">
      <c r="A16" s="655" t="s">
        <v>44</v>
      </c>
      <c r="B16" s="655" t="s">
        <v>151</v>
      </c>
      <c r="C16" s="338" t="s">
        <v>103</v>
      </c>
      <c r="D16" s="342" t="s">
        <v>68</v>
      </c>
      <c r="E16" s="343" t="s">
        <v>69</v>
      </c>
      <c r="F16" s="342" t="s">
        <v>70</v>
      </c>
      <c r="G16" s="342" t="s">
        <v>71</v>
      </c>
      <c r="H16" s="342" t="s">
        <v>72</v>
      </c>
      <c r="I16" s="342" t="s">
        <v>73</v>
      </c>
      <c r="J16" s="342" t="s">
        <v>74</v>
      </c>
      <c r="K16" s="342" t="s">
        <v>75</v>
      </c>
      <c r="L16" s="342" t="s">
        <v>76</v>
      </c>
      <c r="M16" s="342" t="s">
        <v>77</v>
      </c>
      <c r="N16" s="342" t="s">
        <v>78</v>
      </c>
      <c r="O16" s="12"/>
      <c r="P16" s="12"/>
      <c r="Q16" s="12"/>
      <c r="R16" s="12"/>
      <c r="S16" s="36"/>
      <c r="T16" s="12"/>
      <c r="U16" s="12"/>
      <c r="V16" s="12"/>
      <c r="W16" s="26"/>
      <c r="X16" s="26"/>
      <c r="Y16" s="26"/>
      <c r="Z16" s="26"/>
      <c r="AA16" s="12"/>
      <c r="AB16" s="12"/>
      <c r="AC16" s="27"/>
      <c r="AF16" s="11"/>
      <c r="AG16" s="11"/>
      <c r="AH16" s="11"/>
      <c r="AI16" s="11"/>
      <c r="AL16" s="25"/>
      <c r="AM16" s="25"/>
    </row>
    <row r="17" spans="1:39" x14ac:dyDescent="0.3">
      <c r="A17" s="655"/>
      <c r="B17" s="655"/>
      <c r="C17" s="405" t="s">
        <v>80</v>
      </c>
      <c r="D17" s="348" t="s">
        <v>81</v>
      </c>
      <c r="E17" s="348" t="s">
        <v>82</v>
      </c>
      <c r="F17" s="348" t="s">
        <v>83</v>
      </c>
      <c r="G17" s="348" t="s">
        <v>84</v>
      </c>
      <c r="H17" s="348" t="s">
        <v>85</v>
      </c>
      <c r="I17" s="348" t="s">
        <v>86</v>
      </c>
      <c r="J17" s="348" t="s">
        <v>87</v>
      </c>
      <c r="K17" s="348" t="s">
        <v>88</v>
      </c>
      <c r="L17" s="348" t="s">
        <v>89</v>
      </c>
      <c r="M17" s="348" t="s">
        <v>90</v>
      </c>
      <c r="N17" s="348" t="s">
        <v>91</v>
      </c>
      <c r="O17" s="12"/>
      <c r="P17" s="12"/>
      <c r="Q17" s="12"/>
      <c r="R17" s="12"/>
      <c r="S17" s="36"/>
      <c r="T17" s="12"/>
      <c r="U17" s="12"/>
      <c r="V17" s="12"/>
      <c r="W17" s="26"/>
      <c r="X17" s="26"/>
      <c r="Y17" s="26"/>
      <c r="Z17" s="26"/>
      <c r="AA17" s="12"/>
      <c r="AB17" s="12"/>
      <c r="AC17" s="27"/>
      <c r="AF17" s="11"/>
      <c r="AG17" s="11"/>
      <c r="AH17" s="11"/>
      <c r="AI17" s="11"/>
      <c r="AL17" s="25"/>
      <c r="AM17" s="25"/>
    </row>
    <row r="18" spans="1:39" x14ac:dyDescent="0.3">
      <c r="A18" s="149" t="str">
        <f>IF($A$10="","",($A$10))</f>
        <v/>
      </c>
      <c r="B18" s="39">
        <v>1</v>
      </c>
      <c r="C18" s="55"/>
      <c r="D18" s="55"/>
      <c r="E18" s="55"/>
      <c r="F18" s="55"/>
      <c r="G18" s="55"/>
      <c r="H18" s="55"/>
      <c r="I18" s="55"/>
      <c r="J18" s="55"/>
      <c r="K18" s="55"/>
      <c r="L18" s="55"/>
      <c r="M18" s="55"/>
      <c r="N18" s="55"/>
      <c r="O18" s="12"/>
      <c r="P18" s="12"/>
      <c r="Q18" s="12"/>
      <c r="R18" s="12"/>
      <c r="S18" s="36"/>
      <c r="T18" s="12"/>
      <c r="U18" s="12"/>
      <c r="V18" s="12"/>
      <c r="W18" s="26"/>
      <c r="X18" s="26"/>
      <c r="Y18" s="26"/>
      <c r="Z18" s="26"/>
      <c r="AA18" s="12"/>
      <c r="AB18" s="12"/>
      <c r="AC18" s="27"/>
      <c r="AF18" s="11"/>
      <c r="AG18" s="11"/>
      <c r="AH18" s="11"/>
      <c r="AI18" s="11"/>
      <c r="AL18" s="25"/>
      <c r="AM18" s="25"/>
    </row>
    <row r="19" spans="1:39" x14ac:dyDescent="0.3">
      <c r="A19" s="149" t="str">
        <f>IF($A$11="","",($A$11))</f>
        <v/>
      </c>
      <c r="B19" s="39">
        <v>2</v>
      </c>
      <c r="C19" s="55"/>
      <c r="D19" s="55"/>
      <c r="E19" s="55"/>
      <c r="F19" s="55"/>
      <c r="G19" s="55"/>
      <c r="H19" s="55"/>
      <c r="I19" s="55"/>
      <c r="J19" s="55"/>
      <c r="K19" s="55"/>
      <c r="L19" s="55"/>
      <c r="M19" s="55"/>
      <c r="N19" s="55"/>
      <c r="O19" s="12"/>
      <c r="P19" s="12"/>
      <c r="Q19" s="12"/>
      <c r="R19" s="12"/>
      <c r="S19" s="36"/>
      <c r="T19" s="12"/>
      <c r="U19" s="12"/>
      <c r="V19" s="12"/>
      <c r="W19" s="26"/>
      <c r="X19" s="26"/>
      <c r="Y19" s="26"/>
      <c r="Z19" s="26"/>
      <c r="AA19" s="12"/>
      <c r="AB19" s="12"/>
      <c r="AC19" s="27"/>
      <c r="AF19" s="11"/>
      <c r="AG19" s="11"/>
      <c r="AH19" s="11"/>
      <c r="AI19" s="11"/>
      <c r="AL19" s="25"/>
      <c r="AM19" s="25"/>
    </row>
    <row r="20" spans="1:39" x14ac:dyDescent="0.3">
      <c r="A20" s="149" t="str">
        <f>IF($A$12="","",($A$12))</f>
        <v/>
      </c>
      <c r="B20" s="39">
        <v>3</v>
      </c>
      <c r="C20" s="55"/>
      <c r="D20" s="55"/>
      <c r="E20" s="55"/>
      <c r="F20" s="55"/>
      <c r="G20" s="55"/>
      <c r="H20" s="55"/>
      <c r="I20" s="55"/>
      <c r="J20" s="55"/>
      <c r="K20" s="55"/>
      <c r="L20" s="55"/>
      <c r="M20" s="55"/>
      <c r="N20" s="55"/>
      <c r="O20" s="12"/>
      <c r="P20" s="12"/>
      <c r="Q20" s="12"/>
      <c r="R20" s="12"/>
      <c r="S20" s="36"/>
      <c r="T20" s="12"/>
      <c r="U20" s="12"/>
      <c r="V20" s="12"/>
      <c r="W20" s="26"/>
      <c r="X20" s="26"/>
      <c r="Y20" s="26"/>
      <c r="Z20" s="26"/>
      <c r="AA20" s="12"/>
      <c r="AB20" s="12"/>
      <c r="AC20" s="27"/>
      <c r="AF20" s="11"/>
      <c r="AG20" s="11"/>
      <c r="AH20" s="11"/>
      <c r="AI20" s="11"/>
      <c r="AL20" s="25"/>
      <c r="AM20" s="25"/>
    </row>
    <row r="21" spans="1:39" x14ac:dyDescent="0.3">
      <c r="A21" s="28"/>
      <c r="B21" s="63"/>
      <c r="C21" s="36"/>
      <c r="D21" s="36"/>
      <c r="E21" s="36"/>
      <c r="F21" s="36"/>
      <c r="G21" s="36"/>
      <c r="H21" s="36"/>
      <c r="I21" s="36"/>
      <c r="J21" s="36"/>
      <c r="K21" s="36"/>
      <c r="L21" s="36"/>
      <c r="M21" s="36"/>
      <c r="N21" s="36"/>
      <c r="O21" s="12"/>
      <c r="P21" s="12"/>
      <c r="Q21" s="12"/>
      <c r="R21" s="12"/>
      <c r="S21" s="36"/>
      <c r="T21" s="12"/>
      <c r="U21" s="12"/>
      <c r="V21" s="12"/>
      <c r="W21" s="26"/>
      <c r="X21" s="26"/>
      <c r="Y21" s="26"/>
      <c r="Z21" s="26"/>
      <c r="AA21" s="12"/>
      <c r="AB21" s="12"/>
      <c r="AC21" s="27"/>
      <c r="AF21" s="11"/>
      <c r="AG21" s="11"/>
      <c r="AH21" s="11"/>
      <c r="AI21" s="11"/>
      <c r="AL21" s="25"/>
      <c r="AM21" s="25"/>
    </row>
    <row r="22" spans="1:39" x14ac:dyDescent="0.3">
      <c r="A22" s="559" t="s">
        <v>652</v>
      </c>
      <c r="B22" s="559"/>
      <c r="C22" s="560" t="s">
        <v>587</v>
      </c>
      <c r="D22" s="560"/>
      <c r="E22" s="560"/>
      <c r="F22" s="560"/>
      <c r="G22" s="560"/>
      <c r="H22" s="560"/>
      <c r="I22" s="560"/>
      <c r="J22" s="560"/>
      <c r="K22" s="560"/>
      <c r="L22" s="560"/>
      <c r="M22" s="36"/>
      <c r="N22" s="36"/>
      <c r="O22" s="12"/>
      <c r="P22" s="12"/>
      <c r="Q22" s="12"/>
      <c r="R22" s="12"/>
      <c r="S22" s="36"/>
      <c r="T22" s="12"/>
      <c r="U22" s="12"/>
      <c r="V22" s="12"/>
      <c r="W22" s="26"/>
      <c r="X22" s="26"/>
      <c r="Y22" s="26"/>
      <c r="Z22" s="26"/>
      <c r="AA22" s="12"/>
      <c r="AB22" s="12"/>
      <c r="AC22" s="27"/>
      <c r="AF22" s="11"/>
      <c r="AG22" s="11"/>
      <c r="AH22" s="11"/>
      <c r="AI22" s="11"/>
      <c r="AL22" s="25"/>
      <c r="AM22" s="25"/>
    </row>
    <row r="23" spans="1:39" ht="18" x14ac:dyDescent="0.3">
      <c r="A23" s="342" t="s">
        <v>572</v>
      </c>
      <c r="B23" s="342" t="s">
        <v>151</v>
      </c>
      <c r="C23" s="342" t="s">
        <v>107</v>
      </c>
      <c r="D23" s="342" t="s">
        <v>108</v>
      </c>
      <c r="E23" s="342" t="s">
        <v>109</v>
      </c>
      <c r="F23" s="342" t="s">
        <v>110</v>
      </c>
      <c r="G23" s="342" t="s">
        <v>111</v>
      </c>
      <c r="H23" s="342" t="s">
        <v>112</v>
      </c>
      <c r="I23" s="342" t="s">
        <v>113</v>
      </c>
      <c r="J23" s="342" t="s">
        <v>114</v>
      </c>
      <c r="K23" s="342" t="s">
        <v>115</v>
      </c>
      <c r="L23" s="342" t="s">
        <v>116</v>
      </c>
      <c r="M23" s="366" t="s">
        <v>653</v>
      </c>
      <c r="N23" s="342" t="s">
        <v>654</v>
      </c>
      <c r="P23" s="12"/>
      <c r="Q23" s="12"/>
      <c r="R23" s="12"/>
      <c r="S23" s="36"/>
      <c r="T23" s="12"/>
      <c r="U23" s="12"/>
      <c r="V23" s="12"/>
      <c r="W23" s="26"/>
      <c r="X23" s="26"/>
      <c r="Y23" s="26"/>
      <c r="Z23" s="26"/>
      <c r="AA23" s="12"/>
      <c r="AB23" s="12"/>
      <c r="AC23" s="27"/>
      <c r="AF23" s="11"/>
      <c r="AG23" s="11"/>
      <c r="AH23" s="11"/>
      <c r="AI23" s="11"/>
      <c r="AL23" s="25"/>
      <c r="AM23" s="25"/>
    </row>
    <row r="24" spans="1:39" x14ac:dyDescent="0.3">
      <c r="A24" s="149" t="str">
        <f>IF($A$10="","",($A$10))</f>
        <v/>
      </c>
      <c r="B24" s="39">
        <v>1</v>
      </c>
      <c r="C24" s="38"/>
      <c r="D24" s="38"/>
      <c r="E24" s="38"/>
      <c r="F24" s="38"/>
      <c r="G24" s="38"/>
      <c r="H24" s="38"/>
      <c r="I24" s="38"/>
      <c r="J24" s="38"/>
      <c r="K24" s="38"/>
      <c r="L24" s="38"/>
      <c r="M24" s="71" t="str">
        <f>IF($A10="","",(AVERAGE(C24,D24,E24,F24,G24,H24,I24,J24,K24,L24)))</f>
        <v/>
      </c>
      <c r="N24" s="165" t="str">
        <f>IF(M24="","",M24/$B$6)</f>
        <v/>
      </c>
      <c r="P24" s="12"/>
      <c r="Q24" s="12"/>
      <c r="R24" s="12"/>
      <c r="S24" s="36"/>
      <c r="T24" s="12"/>
      <c r="U24" s="12"/>
      <c r="V24" s="12"/>
      <c r="W24" s="26"/>
      <c r="X24" s="26"/>
      <c r="Y24" s="26"/>
      <c r="Z24" s="26"/>
      <c r="AA24" s="12"/>
      <c r="AB24" s="12"/>
      <c r="AC24" s="27"/>
      <c r="AF24" s="11"/>
      <c r="AG24" s="11"/>
      <c r="AH24" s="11"/>
      <c r="AI24" s="11"/>
      <c r="AL24" s="25"/>
      <c r="AM24" s="25"/>
    </row>
    <row r="25" spans="1:39" x14ac:dyDescent="0.3">
      <c r="A25" s="149" t="str">
        <f>IF($A$11="","",($A$11))</f>
        <v/>
      </c>
      <c r="B25" s="39">
        <v>2</v>
      </c>
      <c r="C25" s="38"/>
      <c r="D25" s="38"/>
      <c r="E25" s="38"/>
      <c r="F25" s="38"/>
      <c r="G25" s="38"/>
      <c r="H25" s="38"/>
      <c r="I25" s="38"/>
      <c r="J25" s="38"/>
      <c r="K25" s="38"/>
      <c r="L25" s="276"/>
      <c r="M25" s="71" t="str">
        <f t="shared" ref="M25:M26" si="0">IF($A11="","",(AVERAGE(C25,D25,E25,F25,G25,H25,I25,J25,K25,L25)))</f>
        <v/>
      </c>
      <c r="N25" s="165" t="str">
        <f>IF(M25="","",M25/$B$6)</f>
        <v/>
      </c>
      <c r="P25" s="12"/>
      <c r="Q25" s="12"/>
      <c r="R25" s="12"/>
      <c r="S25" s="36"/>
      <c r="T25" s="12"/>
      <c r="U25" s="12"/>
      <c r="V25" s="12"/>
      <c r="W25" s="26"/>
      <c r="X25" s="26"/>
      <c r="Y25" s="26"/>
      <c r="Z25" s="26"/>
      <c r="AA25" s="12"/>
      <c r="AB25" s="12"/>
      <c r="AC25" s="27"/>
      <c r="AF25" s="11"/>
      <c r="AG25" s="11"/>
      <c r="AH25" s="11"/>
      <c r="AI25" s="11"/>
      <c r="AL25" s="25"/>
      <c r="AM25" s="25"/>
    </row>
    <row r="26" spans="1:39" x14ac:dyDescent="0.3">
      <c r="A26" s="149" t="str">
        <f>IF($A$12="","",($A$12))</f>
        <v/>
      </c>
      <c r="B26" s="39">
        <v>3</v>
      </c>
      <c r="C26" s="38"/>
      <c r="D26" s="38"/>
      <c r="E26" s="38"/>
      <c r="F26" s="38"/>
      <c r="G26" s="38"/>
      <c r="H26" s="38"/>
      <c r="I26" s="38"/>
      <c r="J26" s="38"/>
      <c r="K26" s="38"/>
      <c r="L26" s="276"/>
      <c r="M26" s="71" t="str">
        <f t="shared" si="0"/>
        <v/>
      </c>
      <c r="N26" s="165" t="str">
        <f t="shared" ref="N26" si="1">IF(M26="","",M26/$B$6)</f>
        <v/>
      </c>
      <c r="P26" s="12"/>
      <c r="Q26" s="12"/>
      <c r="R26" s="12"/>
      <c r="S26" s="36"/>
      <c r="T26" s="12"/>
      <c r="U26" s="12"/>
      <c r="V26" s="12"/>
      <c r="W26" s="26"/>
      <c r="X26" s="26"/>
      <c r="Y26" s="26"/>
      <c r="Z26" s="26"/>
      <c r="AA26" s="12"/>
      <c r="AB26" s="12"/>
      <c r="AC26" s="27"/>
      <c r="AF26" s="11"/>
      <c r="AG26" s="11"/>
      <c r="AH26" s="11"/>
      <c r="AI26" s="11"/>
      <c r="AL26" s="25"/>
      <c r="AM26" s="25"/>
    </row>
    <row r="27" spans="1:39" x14ac:dyDescent="0.3">
      <c r="A27" s="28"/>
      <c r="B27" s="63"/>
      <c r="C27" s="36"/>
      <c r="D27" s="36"/>
      <c r="E27" s="36"/>
      <c r="F27" s="36"/>
      <c r="G27" s="36"/>
      <c r="H27" s="36"/>
      <c r="I27" s="36"/>
      <c r="J27" s="36"/>
      <c r="K27" s="36"/>
      <c r="L27" s="36"/>
      <c r="M27" s="36"/>
      <c r="N27" s="36"/>
      <c r="O27" s="12"/>
      <c r="P27" s="12"/>
      <c r="Q27" s="12"/>
      <c r="R27" s="12"/>
      <c r="S27" s="36"/>
      <c r="T27" s="12"/>
      <c r="U27" s="12"/>
      <c r="V27" s="12"/>
      <c r="W27" s="26"/>
      <c r="X27" s="26"/>
      <c r="Y27" s="26"/>
      <c r="Z27" s="26"/>
      <c r="AA27" s="12"/>
      <c r="AB27" s="12"/>
      <c r="AC27" s="27"/>
      <c r="AF27" s="11"/>
      <c r="AG27" s="11"/>
      <c r="AH27" s="11"/>
      <c r="AI27" s="11"/>
      <c r="AL27" s="25"/>
      <c r="AM27" s="25"/>
    </row>
    <row r="28" spans="1:39" x14ac:dyDescent="0.3">
      <c r="A28" s="565" t="s">
        <v>591</v>
      </c>
      <c r="B28" s="565"/>
      <c r="C28" s="4"/>
      <c r="D28" s="4"/>
      <c r="E28" s="12"/>
      <c r="F28" s="12"/>
      <c r="G28" s="12"/>
      <c r="H28" s="12"/>
      <c r="I28" s="12"/>
      <c r="J28" s="12"/>
      <c r="K28" s="12"/>
      <c r="L28" s="12"/>
      <c r="M28" s="12"/>
      <c r="N28" s="12"/>
      <c r="O28" s="12"/>
      <c r="P28" s="12"/>
      <c r="Q28" s="12"/>
      <c r="R28" s="12"/>
      <c r="S28" s="36"/>
      <c r="T28" s="26"/>
      <c r="U28" s="26"/>
      <c r="V28" s="26"/>
      <c r="W28" s="26"/>
      <c r="X28" s="26"/>
      <c r="Y28" s="26"/>
      <c r="Z28" s="26"/>
      <c r="AA28" s="12"/>
      <c r="AB28" s="12"/>
      <c r="AC28" s="27"/>
      <c r="AF28" s="11"/>
      <c r="AG28" s="11"/>
      <c r="AH28" s="11"/>
      <c r="AI28" s="11"/>
      <c r="AL28" s="25"/>
      <c r="AM28" s="25"/>
    </row>
    <row r="29" spans="1:39" ht="18.75" x14ac:dyDescent="0.35">
      <c r="A29" s="342" t="s">
        <v>572</v>
      </c>
      <c r="B29" s="342" t="s">
        <v>151</v>
      </c>
      <c r="C29" s="342" t="s">
        <v>573</v>
      </c>
      <c r="D29" s="12"/>
      <c r="E29" s="12"/>
      <c r="F29" s="12"/>
      <c r="G29" s="12"/>
      <c r="H29" s="12"/>
      <c r="I29" s="12"/>
      <c r="J29" s="12"/>
      <c r="K29" s="12"/>
      <c r="L29" s="12"/>
      <c r="M29" s="12"/>
      <c r="N29" s="12"/>
      <c r="O29" s="12"/>
      <c r="P29" s="12"/>
      <c r="Q29" s="36"/>
      <c r="R29" s="26"/>
      <c r="S29" s="26"/>
      <c r="T29" s="26"/>
      <c r="U29" s="26"/>
      <c r="V29" s="26"/>
      <c r="W29" s="26"/>
      <c r="X29" s="26"/>
      <c r="Y29" s="12"/>
      <c r="Z29" s="12"/>
      <c r="AA29" s="27"/>
      <c r="AD29" s="11"/>
      <c r="AE29" s="11"/>
      <c r="AF29" s="11"/>
      <c r="AG29" s="11"/>
      <c r="AJ29" s="25"/>
      <c r="AK29" s="25"/>
    </row>
    <row r="30" spans="1:39" x14ac:dyDescent="0.3">
      <c r="A30" s="149" t="str">
        <f>IF($A$10="","",($A$10))</f>
        <v/>
      </c>
      <c r="B30" s="39">
        <v>1</v>
      </c>
      <c r="C30" s="131" t="str">
        <f>IF($A10="","",((N24*D10)*(E10/1000)))</f>
        <v/>
      </c>
      <c r="D30" s="136"/>
      <c r="E30" s="12"/>
      <c r="F30" s="12"/>
      <c r="G30" s="12"/>
      <c r="H30" s="12"/>
      <c r="I30" s="12"/>
      <c r="J30" s="12"/>
      <c r="K30" s="12"/>
      <c r="L30" s="12"/>
      <c r="M30" s="12"/>
      <c r="N30" s="12"/>
      <c r="O30" s="12"/>
      <c r="P30" s="12"/>
      <c r="Q30" s="36"/>
      <c r="R30" s="26"/>
      <c r="S30" s="26"/>
      <c r="T30" s="26"/>
      <c r="U30" s="26"/>
      <c r="V30" s="26"/>
      <c r="W30" s="26"/>
      <c r="X30" s="26"/>
      <c r="Y30" s="12"/>
      <c r="Z30" s="12"/>
      <c r="AA30" s="27"/>
      <c r="AD30" s="11"/>
      <c r="AE30" s="11"/>
      <c r="AF30" s="11"/>
      <c r="AG30" s="11"/>
      <c r="AJ30" s="25"/>
      <c r="AK30" s="25"/>
    </row>
    <row r="31" spans="1:39" x14ac:dyDescent="0.3">
      <c r="A31" s="149" t="str">
        <f>IF($A$11="","",($A$11))</f>
        <v/>
      </c>
      <c r="B31" s="39">
        <v>2</v>
      </c>
      <c r="C31" s="131" t="str">
        <f>IF($A11="","",((N25*D11)*(E11/1000)))</f>
        <v/>
      </c>
      <c r="D31" s="136"/>
      <c r="E31" s="12"/>
      <c r="F31" s="12"/>
      <c r="G31" s="12"/>
      <c r="H31" s="12"/>
      <c r="I31" s="12"/>
      <c r="J31" s="12"/>
      <c r="K31" s="12"/>
      <c r="L31" s="12"/>
      <c r="M31" s="12"/>
      <c r="N31" s="12"/>
      <c r="O31" s="12"/>
      <c r="P31" s="12"/>
      <c r="Q31" s="36"/>
      <c r="R31" s="12"/>
      <c r="S31" s="26"/>
      <c r="T31" s="26"/>
      <c r="U31" s="26"/>
      <c r="V31" s="26"/>
      <c r="W31" s="26"/>
      <c r="X31" s="26"/>
      <c r="Y31" s="26"/>
      <c r="Z31" s="12"/>
      <c r="AA31" s="12"/>
      <c r="AB31" s="27"/>
      <c r="AE31" s="11"/>
      <c r="AF31" s="11"/>
      <c r="AG31" s="11"/>
      <c r="AH31" s="11"/>
      <c r="AK31" s="25"/>
      <c r="AL31" s="25"/>
    </row>
    <row r="32" spans="1:39" x14ac:dyDescent="0.3">
      <c r="A32" s="149" t="str">
        <f>IF($A$12="","",($A$12))</f>
        <v/>
      </c>
      <c r="B32" s="39">
        <v>3</v>
      </c>
      <c r="C32" s="131" t="str">
        <f>IF($A12="","",((N26*D12)*(E12/1000)))</f>
        <v/>
      </c>
      <c r="D32" s="84"/>
      <c r="Q32" s="11"/>
      <c r="S32" s="3"/>
    </row>
    <row r="33" spans="1:39" x14ac:dyDescent="0.3">
      <c r="O33" s="12"/>
      <c r="P33" s="12"/>
      <c r="Q33" s="12"/>
      <c r="R33" s="12"/>
      <c r="S33" s="36"/>
      <c r="T33" s="12"/>
      <c r="U33" s="12"/>
      <c r="V33" s="12"/>
      <c r="W33" s="26"/>
      <c r="X33" s="26"/>
      <c r="Y33" s="26"/>
      <c r="Z33" s="26"/>
      <c r="AA33" s="12"/>
      <c r="AB33" s="12"/>
      <c r="AC33" s="27"/>
      <c r="AF33" s="11"/>
      <c r="AG33" s="11"/>
      <c r="AH33" s="11"/>
      <c r="AI33" s="11"/>
      <c r="AL33" s="25"/>
      <c r="AM33" s="25"/>
    </row>
    <row r="34" spans="1:39" ht="18" x14ac:dyDescent="0.3">
      <c r="A34" s="559" t="s">
        <v>168</v>
      </c>
      <c r="B34" s="559"/>
      <c r="C34" s="4"/>
      <c r="D34" s="4"/>
      <c r="E34" s="4"/>
      <c r="O34" s="12"/>
      <c r="P34" s="12"/>
      <c r="Q34" s="12"/>
      <c r="R34" s="12"/>
      <c r="S34" s="36"/>
      <c r="T34" s="12"/>
      <c r="U34" s="12"/>
      <c r="V34" s="12"/>
      <c r="W34" s="26"/>
      <c r="X34" s="26"/>
      <c r="Y34" s="26"/>
      <c r="Z34" s="26"/>
      <c r="AA34" s="12"/>
      <c r="AB34" s="12"/>
      <c r="AC34" s="27"/>
      <c r="AF34" s="11"/>
      <c r="AG34" s="11"/>
      <c r="AH34" s="11"/>
      <c r="AI34" s="11"/>
      <c r="AL34" s="25"/>
      <c r="AM34" s="25"/>
    </row>
    <row r="35" spans="1:39" x14ac:dyDescent="0.3">
      <c r="A35" s="655" t="s">
        <v>44</v>
      </c>
      <c r="B35" s="655" t="s">
        <v>151</v>
      </c>
      <c r="C35" s="342" t="s">
        <v>103</v>
      </c>
      <c r="D35" s="342" t="s">
        <v>68</v>
      </c>
      <c r="E35" s="343" t="s">
        <v>69</v>
      </c>
      <c r="F35" s="342" t="s">
        <v>70</v>
      </c>
      <c r="G35" s="342" t="s">
        <v>71</v>
      </c>
      <c r="H35" s="342" t="s">
        <v>72</v>
      </c>
      <c r="I35" s="342" t="s">
        <v>73</v>
      </c>
      <c r="J35" s="342" t="s">
        <v>74</v>
      </c>
      <c r="K35" s="342" t="s">
        <v>75</v>
      </c>
      <c r="L35" s="342" t="s">
        <v>76</v>
      </c>
      <c r="M35" s="342" t="s">
        <v>77</v>
      </c>
      <c r="N35" s="342" t="s">
        <v>78</v>
      </c>
      <c r="O35" s="12"/>
      <c r="P35" s="12"/>
      <c r="Q35" s="12"/>
      <c r="R35" s="12"/>
      <c r="S35" s="36"/>
      <c r="T35" s="12"/>
      <c r="U35" s="12"/>
      <c r="V35" s="12"/>
      <c r="W35" s="26"/>
      <c r="X35" s="26"/>
      <c r="Y35" s="26"/>
      <c r="Z35" s="26"/>
      <c r="AA35" s="12"/>
      <c r="AB35" s="12"/>
      <c r="AC35" s="27"/>
      <c r="AF35" s="11"/>
      <c r="AG35" s="11"/>
      <c r="AH35" s="11"/>
      <c r="AI35" s="11"/>
      <c r="AL35" s="25"/>
      <c r="AM35" s="25"/>
    </row>
    <row r="36" spans="1:39" x14ac:dyDescent="0.3">
      <c r="A36" s="655"/>
      <c r="B36" s="655"/>
      <c r="C36" s="348" t="s">
        <v>80</v>
      </c>
      <c r="D36" s="348" t="s">
        <v>81</v>
      </c>
      <c r="E36" s="348" t="s">
        <v>82</v>
      </c>
      <c r="F36" s="348" t="s">
        <v>83</v>
      </c>
      <c r="G36" s="348" t="s">
        <v>84</v>
      </c>
      <c r="H36" s="348" t="s">
        <v>85</v>
      </c>
      <c r="I36" s="348" t="s">
        <v>86</v>
      </c>
      <c r="J36" s="348" t="s">
        <v>87</v>
      </c>
      <c r="K36" s="348" t="s">
        <v>88</v>
      </c>
      <c r="L36" s="348" t="s">
        <v>89</v>
      </c>
      <c r="M36" s="348" t="s">
        <v>90</v>
      </c>
      <c r="N36" s="348" t="s">
        <v>91</v>
      </c>
      <c r="O36" s="12"/>
      <c r="P36" s="12"/>
      <c r="Q36" s="12"/>
      <c r="R36" s="12"/>
      <c r="S36" s="36"/>
      <c r="T36" s="12"/>
      <c r="U36" s="12"/>
      <c r="V36" s="12"/>
      <c r="W36" s="12"/>
      <c r="X36" s="12"/>
      <c r="Y36" s="12"/>
      <c r="Z36" s="12"/>
      <c r="AA36" s="12"/>
      <c r="AB36" s="12"/>
      <c r="AC36" s="27"/>
      <c r="AF36" s="11"/>
      <c r="AG36" s="11"/>
      <c r="AH36" s="11"/>
      <c r="AI36" s="11"/>
      <c r="AL36" s="25"/>
      <c r="AM36" s="25"/>
    </row>
    <row r="37" spans="1:39" x14ac:dyDescent="0.3">
      <c r="A37" s="149" t="str">
        <f>IF($A$10="","",($A$10))</f>
        <v/>
      </c>
      <c r="B37" s="39">
        <v>1</v>
      </c>
      <c r="C37" s="35" t="str">
        <f t="shared" ref="C37:N37" si="2">IF($A$10="","",($C$30*C18))</f>
        <v/>
      </c>
      <c r="D37" s="35" t="str">
        <f t="shared" si="2"/>
        <v/>
      </c>
      <c r="E37" s="35" t="str">
        <f t="shared" si="2"/>
        <v/>
      </c>
      <c r="F37" s="35" t="str">
        <f t="shared" si="2"/>
        <v/>
      </c>
      <c r="G37" s="35" t="str">
        <f t="shared" si="2"/>
        <v/>
      </c>
      <c r="H37" s="35" t="str">
        <f t="shared" si="2"/>
        <v/>
      </c>
      <c r="I37" s="35" t="str">
        <f t="shared" si="2"/>
        <v/>
      </c>
      <c r="J37" s="35" t="str">
        <f t="shared" si="2"/>
        <v/>
      </c>
      <c r="K37" s="35" t="str">
        <f t="shared" si="2"/>
        <v/>
      </c>
      <c r="L37" s="35" t="str">
        <f t="shared" si="2"/>
        <v/>
      </c>
      <c r="M37" s="35" t="str">
        <f t="shared" si="2"/>
        <v/>
      </c>
      <c r="N37" s="35" t="str">
        <f t="shared" si="2"/>
        <v/>
      </c>
      <c r="O37" s="26"/>
      <c r="P37" s="12"/>
      <c r="Q37" s="12"/>
      <c r="R37" s="12"/>
      <c r="S37" s="36"/>
      <c r="T37" s="12"/>
      <c r="U37" s="12"/>
      <c r="V37" s="12"/>
      <c r="W37" s="12"/>
      <c r="X37" s="12"/>
      <c r="Y37" s="12"/>
      <c r="Z37" s="12"/>
      <c r="AA37" s="12"/>
      <c r="AB37" s="12"/>
      <c r="AC37" s="27"/>
      <c r="AF37" s="11"/>
      <c r="AG37" s="11"/>
      <c r="AH37" s="11"/>
      <c r="AI37" s="11"/>
      <c r="AL37" s="25"/>
      <c r="AM37" s="25"/>
    </row>
    <row r="38" spans="1:39" x14ac:dyDescent="0.3">
      <c r="A38" s="149" t="str">
        <f>IF($A$11="","",($A$11))</f>
        <v/>
      </c>
      <c r="B38" s="39">
        <v>2</v>
      </c>
      <c r="C38" s="35" t="str">
        <f t="shared" ref="C38:N38" si="3">IF($A$11="","",($C$31*C19))</f>
        <v/>
      </c>
      <c r="D38" s="35" t="str">
        <f t="shared" si="3"/>
        <v/>
      </c>
      <c r="E38" s="35" t="str">
        <f t="shared" si="3"/>
        <v/>
      </c>
      <c r="F38" s="35" t="str">
        <f t="shared" si="3"/>
        <v/>
      </c>
      <c r="G38" s="35" t="str">
        <f t="shared" si="3"/>
        <v/>
      </c>
      <c r="H38" s="35" t="str">
        <f t="shared" si="3"/>
        <v/>
      </c>
      <c r="I38" s="35" t="str">
        <f t="shared" si="3"/>
        <v/>
      </c>
      <c r="J38" s="35" t="str">
        <f t="shared" si="3"/>
        <v/>
      </c>
      <c r="K38" s="35" t="str">
        <f t="shared" si="3"/>
        <v/>
      </c>
      <c r="L38" s="35" t="str">
        <f t="shared" si="3"/>
        <v/>
      </c>
      <c r="M38" s="35" t="str">
        <f t="shared" si="3"/>
        <v/>
      </c>
      <c r="N38" s="35" t="str">
        <f t="shared" si="3"/>
        <v/>
      </c>
      <c r="O38" s="12"/>
      <c r="P38" s="12"/>
      <c r="Q38" s="12"/>
      <c r="R38" s="12"/>
      <c r="S38" s="36"/>
      <c r="T38" s="12"/>
      <c r="U38" s="12"/>
      <c r="V38" s="12"/>
      <c r="W38" s="12"/>
      <c r="X38" s="12"/>
      <c r="Y38" s="12"/>
      <c r="Z38" s="12"/>
      <c r="AA38" s="12"/>
      <c r="AB38" s="12"/>
      <c r="AC38" s="27"/>
      <c r="AF38" s="11"/>
      <c r="AG38" s="11"/>
      <c r="AH38" s="11"/>
      <c r="AI38" s="11"/>
      <c r="AL38" s="25"/>
      <c r="AM38" s="25"/>
    </row>
    <row r="39" spans="1:39" x14ac:dyDescent="0.3">
      <c r="A39" s="149" t="str">
        <f>IF($A$12="","",($A$12))</f>
        <v/>
      </c>
      <c r="B39" s="39">
        <v>3</v>
      </c>
      <c r="C39" s="35" t="str">
        <f t="shared" ref="C39:N39" si="4">IF($A$12="","",($C$32*C20))</f>
        <v/>
      </c>
      <c r="D39" s="35" t="str">
        <f t="shared" si="4"/>
        <v/>
      </c>
      <c r="E39" s="35" t="str">
        <f t="shared" si="4"/>
        <v/>
      </c>
      <c r="F39" s="35" t="str">
        <f t="shared" si="4"/>
        <v/>
      </c>
      <c r="G39" s="35" t="str">
        <f t="shared" si="4"/>
        <v/>
      </c>
      <c r="H39" s="35" t="str">
        <f t="shared" si="4"/>
        <v/>
      </c>
      <c r="I39" s="35" t="str">
        <f t="shared" si="4"/>
        <v/>
      </c>
      <c r="J39" s="35" t="str">
        <f t="shared" si="4"/>
        <v/>
      </c>
      <c r="K39" s="35" t="str">
        <f t="shared" si="4"/>
        <v/>
      </c>
      <c r="L39" s="35" t="str">
        <f t="shared" si="4"/>
        <v/>
      </c>
      <c r="M39" s="35" t="str">
        <f t="shared" si="4"/>
        <v/>
      </c>
      <c r="N39" s="35" t="str">
        <f t="shared" si="4"/>
        <v/>
      </c>
      <c r="O39" s="12"/>
      <c r="P39" s="12"/>
      <c r="Q39" s="12"/>
      <c r="R39" s="12"/>
      <c r="S39" s="36"/>
      <c r="T39" s="12"/>
      <c r="U39" s="12"/>
      <c r="V39" s="12"/>
      <c r="W39" s="12"/>
      <c r="X39" s="12"/>
      <c r="Y39" s="12"/>
      <c r="Z39" s="12"/>
      <c r="AA39" s="12"/>
      <c r="AB39" s="12"/>
      <c r="AC39" s="27"/>
      <c r="AF39" s="11"/>
      <c r="AG39" s="11"/>
      <c r="AH39" s="11"/>
      <c r="AI39" s="11"/>
      <c r="AL39" s="25"/>
      <c r="AM39" s="25"/>
    </row>
    <row r="40" spans="1:39" x14ac:dyDescent="0.3">
      <c r="A40" s="28"/>
      <c r="B40" s="28"/>
      <c r="C40" s="26"/>
      <c r="D40" s="26"/>
      <c r="E40" s="26"/>
      <c r="F40" s="26"/>
      <c r="G40" s="26"/>
      <c r="H40" s="26"/>
      <c r="I40" s="26"/>
      <c r="J40" s="26"/>
      <c r="K40" s="26"/>
      <c r="L40" s="26"/>
      <c r="M40" s="26"/>
      <c r="N40" s="26"/>
      <c r="O40" s="12"/>
      <c r="P40" s="12"/>
      <c r="Q40" s="12"/>
      <c r="R40" s="12"/>
      <c r="S40" s="36"/>
      <c r="T40" s="12"/>
      <c r="U40" s="12"/>
      <c r="V40" s="12"/>
      <c r="W40" s="12"/>
      <c r="X40" s="12"/>
      <c r="Y40" s="12"/>
      <c r="Z40" s="12"/>
      <c r="AA40" s="12"/>
      <c r="AB40" s="12"/>
      <c r="AC40" s="27"/>
      <c r="AF40" s="11"/>
      <c r="AG40" s="11"/>
      <c r="AH40" s="11"/>
      <c r="AI40" s="11"/>
      <c r="AL40" s="25"/>
      <c r="AM40" s="25"/>
    </row>
    <row r="41" spans="1:39" x14ac:dyDescent="0.3">
      <c r="A41" s="28"/>
      <c r="B41" s="28"/>
      <c r="C41" s="26"/>
      <c r="D41" s="26"/>
      <c r="E41" s="26"/>
      <c r="F41" s="26"/>
      <c r="G41" s="26"/>
      <c r="H41" s="26"/>
      <c r="I41" s="26"/>
      <c r="J41" s="26"/>
      <c r="K41" s="26"/>
      <c r="L41" s="26"/>
      <c r="M41" s="26"/>
      <c r="N41" s="26"/>
      <c r="O41" s="12"/>
      <c r="P41" s="12"/>
      <c r="Q41" s="12"/>
      <c r="R41" s="12"/>
      <c r="S41" s="36"/>
      <c r="T41" s="12"/>
      <c r="U41" s="12"/>
      <c r="V41" s="12"/>
      <c r="W41" s="12"/>
      <c r="X41" s="12"/>
      <c r="Y41" s="12"/>
      <c r="Z41" s="12"/>
      <c r="AA41" s="12"/>
      <c r="AB41" s="12"/>
      <c r="AC41" s="27"/>
      <c r="AF41" s="11"/>
      <c r="AG41" s="11"/>
      <c r="AH41" s="11"/>
      <c r="AI41" s="11"/>
      <c r="AL41" s="25"/>
      <c r="AM41" s="25"/>
    </row>
    <row r="42" spans="1:39" ht="18" x14ac:dyDescent="0.3">
      <c r="A42" s="213" t="s">
        <v>851</v>
      </c>
      <c r="B42" s="213"/>
      <c r="C42" s="213"/>
      <c r="D42" s="213"/>
      <c r="E42" s="213"/>
      <c r="F42" s="12"/>
      <c r="G42" s="12"/>
      <c r="H42" s="12"/>
      <c r="I42" s="12"/>
      <c r="J42" s="12"/>
      <c r="K42" s="12"/>
      <c r="L42" s="12"/>
      <c r="M42" s="12"/>
      <c r="N42" s="12"/>
      <c r="O42" s="28" t="s">
        <v>104</v>
      </c>
      <c r="P42" s="12"/>
      <c r="Q42" s="12"/>
      <c r="R42" s="12"/>
      <c r="S42" s="36"/>
      <c r="T42" s="12"/>
      <c r="U42" s="12"/>
      <c r="V42" s="12"/>
      <c r="W42" s="12"/>
      <c r="X42" s="12"/>
      <c r="Y42" s="12"/>
      <c r="Z42" s="12"/>
      <c r="AA42" s="12"/>
      <c r="AB42" s="12"/>
      <c r="AC42" s="27"/>
      <c r="AF42" s="11"/>
      <c r="AG42" s="11"/>
      <c r="AH42" s="11"/>
      <c r="AI42" s="11"/>
      <c r="AL42" s="25"/>
      <c r="AM42" s="25"/>
    </row>
    <row r="43" spans="1:39" s="59" customFormat="1" ht="42.75" customHeight="1" x14ac:dyDescent="0.25">
      <c r="A43" s="714" t="s">
        <v>169</v>
      </c>
      <c r="B43" s="714"/>
      <c r="C43" s="152" t="str">
        <f>IF($B$4="","",SUM(C37:C39))</f>
        <v/>
      </c>
      <c r="D43" s="152" t="str">
        <f t="shared" ref="D43:N43" si="5">IF($B$4="","",SUM(D37:D39))</f>
        <v/>
      </c>
      <c r="E43" s="152" t="str">
        <f t="shared" si="5"/>
        <v/>
      </c>
      <c r="F43" s="152" t="str">
        <f t="shared" si="5"/>
        <v/>
      </c>
      <c r="G43" s="152" t="str">
        <f t="shared" si="5"/>
        <v/>
      </c>
      <c r="H43" s="152" t="str">
        <f t="shared" si="5"/>
        <v/>
      </c>
      <c r="I43" s="152" t="str">
        <f t="shared" si="5"/>
        <v/>
      </c>
      <c r="J43" s="152" t="str">
        <f t="shared" si="5"/>
        <v/>
      </c>
      <c r="K43" s="152" t="str">
        <f t="shared" si="5"/>
        <v/>
      </c>
      <c r="L43" s="152" t="str">
        <f t="shared" si="5"/>
        <v/>
      </c>
      <c r="M43" s="152" t="str">
        <f t="shared" si="5"/>
        <v/>
      </c>
      <c r="N43" s="152" t="str">
        <f t="shared" si="5"/>
        <v/>
      </c>
      <c r="O43" s="130">
        <f>SUM(C43:N43)</f>
        <v>0</v>
      </c>
      <c r="P43" s="50"/>
      <c r="Q43" s="50"/>
      <c r="R43" s="50"/>
      <c r="S43" s="135"/>
      <c r="T43" s="50"/>
      <c r="U43" s="50"/>
      <c r="V43" s="50"/>
      <c r="W43" s="50"/>
      <c r="X43" s="50"/>
      <c r="Y43" s="50"/>
      <c r="Z43" s="50"/>
      <c r="AA43" s="50"/>
      <c r="AB43" s="50"/>
      <c r="AC43" s="58"/>
      <c r="AF43" s="60"/>
      <c r="AG43" s="60"/>
      <c r="AH43" s="60"/>
      <c r="AI43" s="60"/>
      <c r="AL43" s="61"/>
      <c r="AM43" s="61"/>
    </row>
    <row r="44" spans="1:39" x14ac:dyDescent="0.3">
      <c r="A44" s="45"/>
      <c r="B44" s="45"/>
      <c r="C44" s="12"/>
      <c r="D44" s="12"/>
      <c r="E44" s="12"/>
      <c r="F44" s="12"/>
      <c r="G44" s="12"/>
      <c r="H44" s="12"/>
      <c r="I44" s="12"/>
      <c r="J44" s="12"/>
      <c r="K44" s="12"/>
      <c r="L44" s="12"/>
      <c r="M44" s="12"/>
      <c r="N44" s="12"/>
      <c r="O44" s="12"/>
      <c r="P44" s="12"/>
      <c r="Q44" s="12"/>
      <c r="R44" s="12"/>
      <c r="S44" s="36"/>
      <c r="T44" s="12"/>
      <c r="U44" s="12"/>
      <c r="V44" s="12"/>
      <c r="W44" s="12"/>
      <c r="X44" s="12"/>
      <c r="Y44" s="12"/>
      <c r="Z44" s="12"/>
      <c r="AA44" s="12"/>
      <c r="AB44" s="12"/>
      <c r="AC44" s="27"/>
      <c r="AF44" s="11"/>
      <c r="AG44" s="11"/>
      <c r="AH44" s="11"/>
      <c r="AI44" s="11"/>
      <c r="AL44" s="25"/>
      <c r="AM44" s="25"/>
    </row>
  </sheetData>
  <mergeCells count="21">
    <mergeCell ref="A15:B15"/>
    <mergeCell ref="A16:A17"/>
    <mergeCell ref="B16:B17"/>
    <mergeCell ref="A22:B22"/>
    <mergeCell ref="A34:B34"/>
    <mergeCell ref="A43:B43"/>
    <mergeCell ref="A7:D7"/>
    <mergeCell ref="A28:B28"/>
    <mergeCell ref="C15:N15"/>
    <mergeCell ref="C8:H8"/>
    <mergeCell ref="A10:B10"/>
    <mergeCell ref="A11:B11"/>
    <mergeCell ref="A12:B12"/>
    <mergeCell ref="A9:B9"/>
    <mergeCell ref="C22:L22"/>
    <mergeCell ref="A35:A36"/>
    <mergeCell ref="B35:B36"/>
    <mergeCell ref="F9:H9"/>
    <mergeCell ref="F10:H10"/>
    <mergeCell ref="F11:H11"/>
    <mergeCell ref="F12:H12"/>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5">
    <tabColor theme="0" tint="-0.249977111117893"/>
  </sheetPr>
  <dimension ref="A1:AK121"/>
  <sheetViews>
    <sheetView zoomScale="70" zoomScaleNormal="70" workbookViewId="0">
      <selection activeCell="C1" sqref="C1"/>
    </sheetView>
  </sheetViews>
  <sheetFormatPr defaultColWidth="9.28515625" defaultRowHeight="16.5" x14ac:dyDescent="0.3"/>
  <cols>
    <col min="1" max="1" width="36.85546875" style="3" customWidth="1"/>
    <col min="2" max="2" width="47.5703125" style="3" customWidth="1"/>
    <col min="3" max="3" width="26.85546875" style="3" customWidth="1"/>
    <col min="4" max="4" width="37.28515625" style="93" customWidth="1"/>
    <col min="5" max="5" width="47.85546875" style="3" customWidth="1"/>
    <col min="6" max="6" width="16.85546875" style="3" customWidth="1"/>
    <col min="7" max="7" width="20.42578125" style="3" customWidth="1"/>
    <col min="8" max="11" width="26.85546875" style="3" customWidth="1"/>
    <col min="12" max="12" width="47.85546875" style="3" customWidth="1"/>
    <col min="13" max="13" width="16.85546875" style="3" customWidth="1"/>
    <col min="14" max="14" width="21.85546875" style="3" customWidth="1"/>
    <col min="15" max="15" width="11.7109375" style="3" customWidth="1"/>
    <col min="16" max="16" width="16.85546875" style="3" customWidth="1"/>
    <col min="17" max="28" width="14.85546875" style="3" customWidth="1"/>
    <col min="29" max="16384" width="9.28515625" style="3"/>
  </cols>
  <sheetData>
    <row r="1" spans="1:37" ht="20.25" x14ac:dyDescent="0.3">
      <c r="A1" s="196" t="s">
        <v>655</v>
      </c>
    </row>
    <row r="2" spans="1:37" ht="20.25" x14ac:dyDescent="0.3">
      <c r="A2" s="196"/>
      <c r="F2" s="749" t="s">
        <v>998</v>
      </c>
      <c r="G2" s="749"/>
      <c r="H2" s="749"/>
      <c r="I2" s="749"/>
      <c r="J2" s="749"/>
    </row>
    <row r="3" spans="1:37" x14ac:dyDescent="0.3">
      <c r="A3" s="529" t="s">
        <v>994</v>
      </c>
      <c r="B3" s="88"/>
      <c r="C3" s="88"/>
      <c r="D3" s="88"/>
      <c r="F3" s="749"/>
      <c r="G3" s="749"/>
      <c r="H3" s="749"/>
      <c r="I3" s="749"/>
      <c r="J3" s="749"/>
    </row>
    <row r="4" spans="1:37" s="191" customFormat="1" ht="35.25" thickBot="1" x14ac:dyDescent="0.4">
      <c r="A4" s="530" t="s">
        <v>44</v>
      </c>
      <c r="B4" s="531" t="s">
        <v>995</v>
      </c>
      <c r="C4" s="551" t="s">
        <v>996</v>
      </c>
      <c r="D4" s="531" t="s">
        <v>997</v>
      </c>
      <c r="E4" s="551" t="s">
        <v>996</v>
      </c>
      <c r="F4" s="749"/>
      <c r="G4" s="749"/>
      <c r="H4" s="749"/>
      <c r="I4" s="749"/>
      <c r="J4" s="749"/>
      <c r="K4" s="3"/>
      <c r="L4" s="3"/>
      <c r="M4" s="3"/>
      <c r="N4" s="3"/>
      <c r="O4" s="3"/>
      <c r="P4" s="3"/>
      <c r="Q4" s="3"/>
      <c r="R4" s="3"/>
      <c r="S4" s="3"/>
      <c r="T4" s="3"/>
      <c r="U4" s="3"/>
      <c r="V4" s="3"/>
      <c r="W4" s="3"/>
      <c r="X4" s="3"/>
      <c r="Y4" s="3"/>
      <c r="Z4" s="3"/>
      <c r="AA4" s="3"/>
      <c r="AB4" s="3"/>
      <c r="AC4" s="3"/>
      <c r="AD4" s="3"/>
      <c r="AE4" s="3"/>
      <c r="AJ4" s="3"/>
      <c r="AK4" s="3"/>
    </row>
    <row r="5" spans="1:37" ht="33.75" thickBot="1" x14ac:dyDescent="0.35">
      <c r="A5" s="532" t="s">
        <v>999</v>
      </c>
      <c r="B5" s="532"/>
      <c r="C5" s="533"/>
      <c r="D5" s="534"/>
      <c r="E5" s="535"/>
      <c r="F5" s="210"/>
      <c r="G5" s="4" t="s">
        <v>44</v>
      </c>
      <c r="H5" s="557" t="s">
        <v>658</v>
      </c>
      <c r="I5" s="557"/>
      <c r="J5" s="557"/>
      <c r="K5" s="557"/>
      <c r="L5" s="557"/>
      <c r="M5" s="557"/>
      <c r="N5" s="557"/>
      <c r="O5" s="557"/>
      <c r="P5" s="557"/>
      <c r="Q5" s="557"/>
      <c r="R5" s="557"/>
      <c r="S5" s="557"/>
      <c r="AC5" s="23" t="s">
        <v>370</v>
      </c>
    </row>
    <row r="6" spans="1:37" ht="17.25" thickTop="1" x14ac:dyDescent="0.3">
      <c r="A6" s="6" t="s">
        <v>1000</v>
      </c>
      <c r="B6" s="6" t="s">
        <v>701</v>
      </c>
      <c r="C6" s="536">
        <v>4.0000000000000001E-3</v>
      </c>
      <c r="D6" s="6" t="s">
        <v>701</v>
      </c>
      <c r="E6" s="537">
        <v>15.2</v>
      </c>
      <c r="H6" s="39" t="s">
        <v>103</v>
      </c>
      <c r="I6" s="39" t="s">
        <v>68</v>
      </c>
      <c r="J6" s="330" t="s">
        <v>69</v>
      </c>
      <c r="K6" s="39" t="s">
        <v>70</v>
      </c>
      <c r="L6" s="39" t="s">
        <v>71</v>
      </c>
      <c r="M6" s="39" t="s">
        <v>72</v>
      </c>
      <c r="N6" s="39" t="s">
        <v>73</v>
      </c>
      <c r="O6" s="39" t="s">
        <v>74</v>
      </c>
      <c r="P6" s="39" t="s">
        <v>75</v>
      </c>
      <c r="Q6" s="39" t="s">
        <v>76</v>
      </c>
      <c r="R6" s="39" t="s">
        <v>77</v>
      </c>
      <c r="S6" s="39" t="s">
        <v>78</v>
      </c>
      <c r="X6" s="191"/>
      <c r="Y6" s="191"/>
      <c r="AC6" s="3" t="s">
        <v>378</v>
      </c>
    </row>
    <row r="7" spans="1:37" x14ac:dyDescent="0.3">
      <c r="A7" s="6" t="s">
        <v>1001</v>
      </c>
      <c r="B7" s="6" t="s">
        <v>701</v>
      </c>
      <c r="C7" s="536">
        <v>4.0000000000000001E-3</v>
      </c>
      <c r="D7" s="6" t="s">
        <v>701</v>
      </c>
      <c r="E7" s="536">
        <v>15.2</v>
      </c>
      <c r="H7" s="39" t="s">
        <v>80</v>
      </c>
      <c r="I7" s="39" t="s">
        <v>81</v>
      </c>
      <c r="J7" s="39" t="s">
        <v>133</v>
      </c>
      <c r="K7" s="39" t="s">
        <v>134</v>
      </c>
      <c r="L7" s="39" t="s">
        <v>84</v>
      </c>
      <c r="M7" s="39" t="s">
        <v>85</v>
      </c>
      <c r="N7" s="39" t="s">
        <v>86</v>
      </c>
      <c r="O7" s="39" t="s">
        <v>87</v>
      </c>
      <c r="P7" s="39" t="s">
        <v>88</v>
      </c>
      <c r="Q7" s="39" t="s">
        <v>89</v>
      </c>
      <c r="R7" s="39" t="s">
        <v>90</v>
      </c>
      <c r="S7" s="39" t="s">
        <v>91</v>
      </c>
      <c r="T7" s="23" t="s">
        <v>370</v>
      </c>
    </row>
    <row r="8" spans="1:37" x14ac:dyDescent="0.3">
      <c r="A8" s="6" t="s">
        <v>1002</v>
      </c>
      <c r="B8" s="6" t="s">
        <v>701</v>
      </c>
      <c r="C8" s="536">
        <v>4.0000000000000001E-3</v>
      </c>
      <c r="D8" s="6" t="s">
        <v>701</v>
      </c>
      <c r="E8" s="536">
        <v>15.2</v>
      </c>
      <c r="G8" s="6" t="s">
        <v>667</v>
      </c>
      <c r="H8" s="18">
        <v>0</v>
      </c>
      <c r="I8" s="18">
        <v>0</v>
      </c>
      <c r="J8" s="18">
        <v>0</v>
      </c>
      <c r="K8" s="18">
        <v>3.0000000000000001E-3</v>
      </c>
      <c r="L8" s="18">
        <v>0.11</v>
      </c>
      <c r="M8" s="18">
        <v>0.154</v>
      </c>
      <c r="N8" s="18">
        <v>0.23200000000000001</v>
      </c>
      <c r="O8" s="18">
        <v>0.35499999999999998</v>
      </c>
      <c r="P8" s="18">
        <v>0.14499999999999999</v>
      </c>
      <c r="Q8" s="18">
        <v>0</v>
      </c>
      <c r="R8" s="18">
        <v>0</v>
      </c>
      <c r="S8" s="18">
        <v>0</v>
      </c>
      <c r="T8" s="3" t="s">
        <v>378</v>
      </c>
    </row>
    <row r="9" spans="1:37" x14ac:dyDescent="0.3">
      <c r="A9" s="6" t="s">
        <v>1003</v>
      </c>
      <c r="B9" s="6" t="s">
        <v>718</v>
      </c>
      <c r="C9" s="538">
        <v>3.6400000000000002E-2</v>
      </c>
      <c r="D9" s="6" t="s">
        <v>1004</v>
      </c>
      <c r="E9" s="539">
        <f>AVERAGE(K47,K50)</f>
        <v>27</v>
      </c>
    </row>
    <row r="10" spans="1:37" x14ac:dyDescent="0.3">
      <c r="A10" s="6" t="s">
        <v>1005</v>
      </c>
      <c r="B10" s="6" t="s">
        <v>718</v>
      </c>
      <c r="C10" s="538">
        <v>3.6400000000000002E-2</v>
      </c>
      <c r="D10" s="6" t="s">
        <v>1004</v>
      </c>
      <c r="E10" s="539">
        <v>27</v>
      </c>
    </row>
    <row r="11" spans="1:37" x14ac:dyDescent="0.3">
      <c r="A11" s="6" t="s">
        <v>1006</v>
      </c>
      <c r="B11" s="6" t="s">
        <v>701</v>
      </c>
      <c r="C11" s="536">
        <v>4.0000000000000001E-3</v>
      </c>
      <c r="D11" s="6" t="s">
        <v>701</v>
      </c>
      <c r="E11" s="536">
        <v>15.2</v>
      </c>
    </row>
    <row r="12" spans="1:37" x14ac:dyDescent="0.3">
      <c r="A12" s="6" t="s">
        <v>1007</v>
      </c>
      <c r="B12" s="6" t="s">
        <v>701</v>
      </c>
      <c r="C12" s="536">
        <v>4.0000000000000001E-3</v>
      </c>
      <c r="D12" s="6" t="s">
        <v>701</v>
      </c>
      <c r="E12" s="536">
        <v>15.2</v>
      </c>
    </row>
    <row r="13" spans="1:37" x14ac:dyDescent="0.3">
      <c r="A13" s="6" t="s">
        <v>1008</v>
      </c>
      <c r="B13" s="6" t="s">
        <v>701</v>
      </c>
      <c r="C13" s="536">
        <v>4.0000000000000001E-3</v>
      </c>
      <c r="D13" s="6" t="s">
        <v>701</v>
      </c>
      <c r="E13" s="536">
        <v>15.2</v>
      </c>
    </row>
    <row r="14" spans="1:37" x14ac:dyDescent="0.3">
      <c r="A14" s="6" t="s">
        <v>718</v>
      </c>
      <c r="B14" s="6" t="s">
        <v>718</v>
      </c>
      <c r="C14" s="538">
        <v>3.6400000000000002E-2</v>
      </c>
      <c r="D14" s="6" t="s">
        <v>718</v>
      </c>
      <c r="E14" s="536">
        <v>8.0399999999999991</v>
      </c>
    </row>
    <row r="15" spans="1:37" x14ac:dyDescent="0.3">
      <c r="D15" s="527"/>
      <c r="E15" s="536"/>
    </row>
    <row r="16" spans="1:37" ht="33.75" thickBot="1" x14ac:dyDescent="0.35">
      <c r="A16" s="540" t="s">
        <v>1009</v>
      </c>
      <c r="B16" s="541"/>
      <c r="C16" s="542"/>
      <c r="D16" s="541"/>
      <c r="E16" s="543"/>
    </row>
    <row r="17" spans="1:28" ht="17.25" thickTop="1" x14ac:dyDescent="0.3">
      <c r="A17" s="6" t="s">
        <v>1010</v>
      </c>
      <c r="B17" s="544" t="s">
        <v>1011</v>
      </c>
      <c r="C17" s="538">
        <v>3.4375000000000003E-2</v>
      </c>
      <c r="D17" s="6" t="s">
        <v>1012</v>
      </c>
      <c r="E17" s="545">
        <f>AVERAGE(K40,K44)</f>
        <v>13.8</v>
      </c>
    </row>
    <row r="18" spans="1:28" x14ac:dyDescent="0.3">
      <c r="A18" s="6" t="s">
        <v>1013</v>
      </c>
      <c r="B18" s="6" t="s">
        <v>701</v>
      </c>
      <c r="C18" s="536">
        <v>4.0000000000000001E-3</v>
      </c>
      <c r="D18" s="6" t="s">
        <v>701</v>
      </c>
      <c r="E18" s="536">
        <v>15.2</v>
      </c>
    </row>
    <row r="19" spans="1:28" x14ac:dyDescent="0.3">
      <c r="A19" s="6" t="s">
        <v>1014</v>
      </c>
      <c r="B19" s="6" t="s">
        <v>701</v>
      </c>
      <c r="C19" s="536">
        <v>4.0000000000000001E-3</v>
      </c>
      <c r="D19" s="6" t="s">
        <v>701</v>
      </c>
      <c r="E19" s="536">
        <v>15.2</v>
      </c>
    </row>
    <row r="20" spans="1:28" x14ac:dyDescent="0.3">
      <c r="A20" s="6" t="s">
        <v>1015</v>
      </c>
      <c r="B20" s="6" t="s">
        <v>718</v>
      </c>
      <c r="C20" s="538">
        <v>3.6400000000000002E-2</v>
      </c>
      <c r="D20" s="6" t="s">
        <v>1004</v>
      </c>
      <c r="E20" s="539">
        <v>27</v>
      </c>
    </row>
    <row r="21" spans="1:28" x14ac:dyDescent="0.3">
      <c r="A21" s="6" t="s">
        <v>1016</v>
      </c>
      <c r="B21" s="6" t="s">
        <v>701</v>
      </c>
      <c r="C21" s="536">
        <v>4.0000000000000001E-3</v>
      </c>
      <c r="D21" s="6" t="s">
        <v>701</v>
      </c>
      <c r="E21" s="536">
        <v>15.2</v>
      </c>
    </row>
    <row r="22" spans="1:28" ht="47.25" customHeight="1" x14ac:dyDescent="0.3">
      <c r="A22" s="6" t="s">
        <v>1017</v>
      </c>
      <c r="B22" s="544" t="s">
        <v>1018</v>
      </c>
      <c r="C22" s="538">
        <v>2.4250000000000004E-2</v>
      </c>
      <c r="D22" s="544" t="s">
        <v>1018</v>
      </c>
      <c r="E22" s="545">
        <f>AVERAGE(K40,K44,K53)</f>
        <v>14.266666666666666</v>
      </c>
    </row>
    <row r="23" spans="1:28" x14ac:dyDescent="0.3">
      <c r="C23" s="12"/>
      <c r="D23" s="527"/>
      <c r="E23" s="536"/>
    </row>
    <row r="24" spans="1:28" ht="33.75" thickBot="1" x14ac:dyDescent="0.35">
      <c r="A24" s="540" t="s">
        <v>1019</v>
      </c>
      <c r="B24" s="541"/>
      <c r="C24" s="543"/>
      <c r="D24" s="541"/>
      <c r="E24" s="543"/>
    </row>
    <row r="25" spans="1:28" ht="17.25" thickTop="1" x14ac:dyDescent="0.3">
      <c r="A25" s="6" t="s">
        <v>1020</v>
      </c>
      <c r="B25" s="544" t="s">
        <v>1021</v>
      </c>
      <c r="C25" s="538">
        <v>2.87E-2</v>
      </c>
      <c r="D25" s="6" t="s">
        <v>1020</v>
      </c>
      <c r="E25" s="536">
        <v>20.8</v>
      </c>
    </row>
    <row r="26" spans="1:28" x14ac:dyDescent="0.3">
      <c r="A26" s="546" t="s">
        <v>1022</v>
      </c>
      <c r="B26" s="547" t="s">
        <v>1021</v>
      </c>
      <c r="C26" s="548">
        <v>2.87E-2</v>
      </c>
      <c r="D26" s="546" t="s">
        <v>1004</v>
      </c>
      <c r="E26" s="549">
        <v>27</v>
      </c>
    </row>
    <row r="27" spans="1:28" x14ac:dyDescent="0.3">
      <c r="A27" s="6"/>
      <c r="B27" s="544"/>
      <c r="C27" s="22"/>
      <c r="D27" s="6"/>
      <c r="E27" s="550"/>
    </row>
    <row r="28" spans="1:28" x14ac:dyDescent="0.3">
      <c r="A28" s="6"/>
      <c r="B28" s="544"/>
      <c r="C28" s="22"/>
      <c r="D28" s="6"/>
      <c r="E28" s="550"/>
    </row>
    <row r="29" spans="1:28" x14ac:dyDescent="0.3">
      <c r="A29" s="6"/>
      <c r="B29" s="544"/>
      <c r="C29" s="22"/>
      <c r="D29" s="6"/>
      <c r="E29" s="550"/>
    </row>
    <row r="30" spans="1:28" x14ac:dyDescent="0.3">
      <c r="A30" s="43" t="s">
        <v>1023</v>
      </c>
    </row>
    <row r="31" spans="1:28" x14ac:dyDescent="0.3">
      <c r="A31" s="43" t="s">
        <v>656</v>
      </c>
      <c r="B31" s="4"/>
      <c r="C31" s="4"/>
      <c r="H31" s="43" t="s">
        <v>657</v>
      </c>
      <c r="N31" s="99"/>
      <c r="P31" s="72"/>
      <c r="Q31" s="557" t="s">
        <v>658</v>
      </c>
      <c r="R31" s="557"/>
      <c r="S31" s="557"/>
      <c r="T31" s="557"/>
      <c r="U31" s="557"/>
      <c r="V31" s="557"/>
      <c r="W31" s="557"/>
      <c r="X31" s="557"/>
      <c r="Y31" s="557"/>
      <c r="Z31" s="557"/>
      <c r="AA31" s="557"/>
      <c r="AB31" s="557"/>
    </row>
    <row r="32" spans="1:28" ht="18" x14ac:dyDescent="0.3">
      <c r="A32" s="176" t="s">
        <v>44</v>
      </c>
      <c r="B32" s="176" t="s">
        <v>659</v>
      </c>
      <c r="C32" s="176" t="s">
        <v>660</v>
      </c>
      <c r="D32" s="189" t="s">
        <v>661</v>
      </c>
      <c r="E32" s="631" t="s">
        <v>370</v>
      </c>
      <c r="F32" s="632"/>
      <c r="G32" s="191"/>
      <c r="H32" s="176" t="s">
        <v>44</v>
      </c>
      <c r="I32" s="176" t="s">
        <v>659</v>
      </c>
      <c r="J32" s="176" t="s">
        <v>660</v>
      </c>
      <c r="K32" s="189" t="s">
        <v>153</v>
      </c>
      <c r="L32" s="748" t="s">
        <v>370</v>
      </c>
      <c r="M32" s="748"/>
      <c r="N32" s="195" t="s">
        <v>662</v>
      </c>
      <c r="O32" s="191"/>
      <c r="Q32" s="39" t="s">
        <v>103</v>
      </c>
      <c r="R32" s="39" t="s">
        <v>68</v>
      </c>
      <c r="S32" s="330" t="s">
        <v>69</v>
      </c>
      <c r="T32" s="39" t="s">
        <v>70</v>
      </c>
      <c r="U32" s="39" t="s">
        <v>71</v>
      </c>
      <c r="V32" s="39" t="s">
        <v>72</v>
      </c>
      <c r="W32" s="39" t="s">
        <v>73</v>
      </c>
      <c r="X32" s="39" t="s">
        <v>74</v>
      </c>
      <c r="Y32" s="39" t="s">
        <v>75</v>
      </c>
      <c r="Z32" s="39" t="s">
        <v>76</v>
      </c>
      <c r="AA32" s="39" t="s">
        <v>77</v>
      </c>
      <c r="AB32" s="39" t="s">
        <v>78</v>
      </c>
    </row>
    <row r="33" spans="1:28" x14ac:dyDescent="0.3">
      <c r="A33" s="64" t="s">
        <v>663</v>
      </c>
      <c r="B33" s="8" t="s">
        <v>664</v>
      </c>
      <c r="C33" s="8" t="s">
        <v>665</v>
      </c>
      <c r="D33" s="35">
        <v>1.6000000000000001E-3</v>
      </c>
      <c r="E33" s="625" t="s">
        <v>666</v>
      </c>
      <c r="F33" s="625"/>
      <c r="H33" s="64" t="s">
        <v>663</v>
      </c>
      <c r="I33" s="8" t="s">
        <v>664</v>
      </c>
      <c r="J33" s="8" t="s">
        <v>665</v>
      </c>
      <c r="K33" s="18">
        <v>3.3</v>
      </c>
      <c r="L33" s="8" t="s">
        <v>666</v>
      </c>
      <c r="M33" s="8"/>
      <c r="N33" s="21"/>
      <c r="P33" s="4" t="s">
        <v>44</v>
      </c>
      <c r="Q33" s="39" t="s">
        <v>80</v>
      </c>
      <c r="R33" s="39" t="s">
        <v>81</v>
      </c>
      <c r="S33" s="39" t="s">
        <v>133</v>
      </c>
      <c r="T33" s="39" t="s">
        <v>134</v>
      </c>
      <c r="U33" s="39" t="s">
        <v>84</v>
      </c>
      <c r="V33" s="39" t="s">
        <v>85</v>
      </c>
      <c r="W33" s="39" t="s">
        <v>86</v>
      </c>
      <c r="X33" s="39" t="s">
        <v>87</v>
      </c>
      <c r="Y33" s="39" t="s">
        <v>88</v>
      </c>
      <c r="Z33" s="39" t="s">
        <v>89</v>
      </c>
      <c r="AA33" s="39" t="s">
        <v>90</v>
      </c>
      <c r="AB33" s="39" t="s">
        <v>91</v>
      </c>
    </row>
    <row r="34" spans="1:28" x14ac:dyDescent="0.3">
      <c r="A34" s="64"/>
      <c r="B34" s="8"/>
      <c r="C34" s="80" t="s">
        <v>30</v>
      </c>
      <c r="D34" s="118">
        <f>AVERAGE(D33)</f>
        <v>1.6000000000000001E-3</v>
      </c>
      <c r="E34" s="625"/>
      <c r="F34" s="625"/>
      <c r="H34" s="64"/>
      <c r="I34" s="8"/>
      <c r="J34" s="80" t="s">
        <v>30</v>
      </c>
      <c r="K34" s="71">
        <f>AVERAGE(K33)</f>
        <v>3.3</v>
      </c>
      <c r="L34" s="625"/>
      <c r="M34" s="625"/>
      <c r="N34" s="21"/>
      <c r="P34" s="6" t="s">
        <v>667</v>
      </c>
      <c r="Q34" s="18">
        <v>0</v>
      </c>
      <c r="R34" s="18">
        <v>0</v>
      </c>
      <c r="S34" s="18">
        <v>0</v>
      </c>
      <c r="T34" s="18">
        <v>3.0000000000000001E-3</v>
      </c>
      <c r="U34" s="18">
        <v>0.11</v>
      </c>
      <c r="V34" s="18">
        <v>0.154</v>
      </c>
      <c r="W34" s="18">
        <v>0.23200000000000001</v>
      </c>
      <c r="X34" s="18">
        <v>0.35499999999999998</v>
      </c>
      <c r="Y34" s="18">
        <v>0.14499999999999999</v>
      </c>
      <c r="Z34" s="18">
        <v>0</v>
      </c>
      <c r="AA34" s="18">
        <v>0</v>
      </c>
      <c r="AB34" s="18">
        <v>0</v>
      </c>
    </row>
    <row r="35" spans="1:28" x14ac:dyDescent="0.3">
      <c r="A35" s="64"/>
      <c r="B35" s="8"/>
      <c r="C35" s="8"/>
      <c r="D35" s="35"/>
      <c r="E35" s="625"/>
      <c r="F35" s="625"/>
      <c r="H35" s="64"/>
      <c r="I35" s="8"/>
      <c r="J35" s="8"/>
      <c r="K35" s="18"/>
      <c r="L35" s="625"/>
      <c r="M35" s="625"/>
      <c r="N35" s="193"/>
      <c r="O35" s="98"/>
      <c r="Q35" s="18"/>
      <c r="R35" s="18"/>
      <c r="S35" s="18"/>
      <c r="T35" s="18"/>
      <c r="U35" s="18"/>
      <c r="V35" s="18"/>
      <c r="W35" s="18"/>
      <c r="X35" s="18"/>
      <c r="Y35" s="18"/>
      <c r="Z35" s="18"/>
      <c r="AA35" s="18"/>
      <c r="AB35" s="18"/>
    </row>
    <row r="36" spans="1:28" x14ac:dyDescent="0.3">
      <c r="A36" s="64" t="s">
        <v>668</v>
      </c>
      <c r="B36" s="8" t="s">
        <v>669</v>
      </c>
      <c r="C36" s="8" t="s">
        <v>670</v>
      </c>
      <c r="D36" s="35">
        <v>4.2000000000000003E-2</v>
      </c>
      <c r="E36" s="625" t="s">
        <v>671</v>
      </c>
      <c r="F36" s="625"/>
      <c r="H36" s="64" t="s">
        <v>672</v>
      </c>
      <c r="I36" s="8" t="s">
        <v>673</v>
      </c>
      <c r="J36" s="8"/>
      <c r="K36" s="18">
        <v>18.2</v>
      </c>
      <c r="L36" s="747" t="s">
        <v>674</v>
      </c>
      <c r="M36" s="747"/>
      <c r="N36" s="193">
        <v>20</v>
      </c>
      <c r="O36" s="98"/>
    </row>
    <row r="37" spans="1:28" x14ac:dyDescent="0.3">
      <c r="A37" s="64" t="s">
        <v>668</v>
      </c>
      <c r="B37" s="8" t="s">
        <v>675</v>
      </c>
      <c r="C37" s="8" t="s">
        <v>676</v>
      </c>
      <c r="D37" s="35">
        <v>5.5E-2</v>
      </c>
      <c r="E37" s="625" t="s">
        <v>671</v>
      </c>
      <c r="F37" s="625"/>
      <c r="H37" s="64" t="s">
        <v>672</v>
      </c>
      <c r="I37" s="8" t="s">
        <v>677</v>
      </c>
      <c r="J37" s="8"/>
      <c r="K37" s="18">
        <v>11.7</v>
      </c>
      <c r="L37" s="747" t="s">
        <v>678</v>
      </c>
      <c r="M37" s="747"/>
      <c r="N37" s="193"/>
      <c r="O37" s="98"/>
    </row>
    <row r="38" spans="1:28" x14ac:dyDescent="0.3">
      <c r="A38" s="64" t="s">
        <v>668</v>
      </c>
      <c r="B38" s="8" t="s">
        <v>679</v>
      </c>
      <c r="C38" s="8" t="s">
        <v>680</v>
      </c>
      <c r="D38" s="35">
        <v>1.0999999999999999E-2</v>
      </c>
      <c r="E38" s="625" t="s">
        <v>671</v>
      </c>
      <c r="F38" s="625"/>
      <c r="H38" s="64" t="s">
        <v>672</v>
      </c>
      <c r="I38" s="8" t="s">
        <v>681</v>
      </c>
      <c r="J38" s="8"/>
      <c r="K38" s="18">
        <v>24.3</v>
      </c>
      <c r="L38" s="747" t="s">
        <v>682</v>
      </c>
      <c r="M38" s="747"/>
      <c r="N38" s="193" t="s">
        <v>683</v>
      </c>
      <c r="O38" s="98"/>
    </row>
    <row r="39" spans="1:28" x14ac:dyDescent="0.3">
      <c r="A39" s="64"/>
      <c r="B39" s="8"/>
      <c r="C39" s="80" t="s">
        <v>30</v>
      </c>
      <c r="D39" s="118">
        <f>AVERAGE(D36:D38)</f>
        <v>3.5999999999999997E-2</v>
      </c>
      <c r="E39" s="625"/>
      <c r="F39" s="625"/>
      <c r="H39" s="64" t="s">
        <v>672</v>
      </c>
      <c r="I39" s="8" t="s">
        <v>684</v>
      </c>
      <c r="J39" s="8"/>
      <c r="K39" s="18">
        <v>14.6</v>
      </c>
      <c r="L39" s="747" t="s">
        <v>685</v>
      </c>
      <c r="M39" s="747"/>
      <c r="N39" s="193" t="s">
        <v>686</v>
      </c>
      <c r="O39" s="98"/>
    </row>
    <row r="40" spans="1:28" x14ac:dyDescent="0.3">
      <c r="A40" s="64"/>
      <c r="B40" s="8"/>
      <c r="C40" s="8"/>
      <c r="D40" s="35"/>
      <c r="E40" s="625"/>
      <c r="F40" s="625"/>
      <c r="H40" s="64"/>
      <c r="I40" s="8"/>
      <c r="J40" s="80" t="s">
        <v>30</v>
      </c>
      <c r="K40" s="71">
        <f>AVERAGE(K36:K39)</f>
        <v>17.2</v>
      </c>
      <c r="L40" s="747"/>
      <c r="M40" s="747"/>
      <c r="N40" s="193"/>
      <c r="O40" s="98"/>
    </row>
    <row r="41" spans="1:28" x14ac:dyDescent="0.3">
      <c r="A41" s="64" t="s">
        <v>687</v>
      </c>
      <c r="B41" s="8" t="s">
        <v>688</v>
      </c>
      <c r="C41" s="8" t="s">
        <v>670</v>
      </c>
      <c r="D41" s="35">
        <v>2.5000000000000001E-2</v>
      </c>
      <c r="E41" s="625" t="s">
        <v>671</v>
      </c>
      <c r="F41" s="625"/>
      <c r="H41" s="64"/>
      <c r="I41" s="8"/>
      <c r="J41" s="8"/>
      <c r="K41" s="18"/>
      <c r="L41" s="747"/>
      <c r="M41" s="747"/>
      <c r="N41" s="193"/>
      <c r="O41" s="98"/>
    </row>
    <row r="42" spans="1:28" x14ac:dyDescent="0.3">
      <c r="A42" s="64" t="s">
        <v>687</v>
      </c>
      <c r="B42" s="8" t="s">
        <v>675</v>
      </c>
      <c r="C42" s="8" t="s">
        <v>676</v>
      </c>
      <c r="D42" s="35">
        <v>3.5000000000000003E-2</v>
      </c>
      <c r="E42" s="625" t="s">
        <v>671</v>
      </c>
      <c r="F42" s="625"/>
      <c r="H42" s="64" t="s">
        <v>687</v>
      </c>
      <c r="I42" s="8" t="s">
        <v>681</v>
      </c>
      <c r="J42" s="8"/>
      <c r="K42" s="18">
        <v>10.4</v>
      </c>
      <c r="L42" s="747" t="s">
        <v>682</v>
      </c>
      <c r="M42" s="747"/>
      <c r="N42" s="193">
        <v>-35</v>
      </c>
      <c r="O42" s="98"/>
    </row>
    <row r="43" spans="1:28" x14ac:dyDescent="0.3">
      <c r="A43" s="64" t="s">
        <v>687</v>
      </c>
      <c r="B43" s="8" t="s">
        <v>679</v>
      </c>
      <c r="C43" s="8" t="s">
        <v>680</v>
      </c>
      <c r="D43" s="35">
        <v>4.2999999999999997E-2</v>
      </c>
      <c r="E43" s="625" t="s">
        <v>671</v>
      </c>
      <c r="F43" s="625"/>
      <c r="H43" s="64"/>
      <c r="I43" s="8" t="s">
        <v>677</v>
      </c>
      <c r="J43" s="8"/>
      <c r="K43" s="18">
        <v>12</v>
      </c>
      <c r="L43" s="747" t="s">
        <v>678</v>
      </c>
      <c r="M43" s="747"/>
      <c r="N43" s="193"/>
      <c r="O43" s="98"/>
    </row>
    <row r="44" spans="1:28" x14ac:dyDescent="0.3">
      <c r="A44" s="64" t="s">
        <v>687</v>
      </c>
      <c r="B44" s="8" t="s">
        <v>689</v>
      </c>
      <c r="C44" s="8" t="s">
        <v>690</v>
      </c>
      <c r="D44" s="35">
        <v>2.8000000000000001E-2</v>
      </c>
      <c r="E44" s="625" t="s">
        <v>671</v>
      </c>
      <c r="F44" s="625"/>
      <c r="H44" s="64"/>
      <c r="I44" s="8"/>
      <c r="J44" s="80" t="s">
        <v>30</v>
      </c>
      <c r="K44" s="71">
        <f>AVERAGE(K42)</f>
        <v>10.4</v>
      </c>
      <c r="L44" s="747"/>
      <c r="M44" s="747"/>
      <c r="N44" s="193"/>
      <c r="O44" s="98"/>
    </row>
    <row r="45" spans="1:28" x14ac:dyDescent="0.3">
      <c r="A45" s="64"/>
      <c r="B45" s="8"/>
      <c r="C45" s="80" t="s">
        <v>30</v>
      </c>
      <c r="D45" s="118">
        <f>AVERAGE(D41:D44)</f>
        <v>3.2750000000000001E-2</v>
      </c>
      <c r="E45" s="625"/>
      <c r="F45" s="625"/>
      <c r="H45" s="64"/>
      <c r="I45" s="8"/>
      <c r="J45" s="8"/>
      <c r="K45" s="18"/>
      <c r="L45" s="747"/>
      <c r="M45" s="747"/>
      <c r="N45" s="21"/>
      <c r="O45" s="98"/>
    </row>
    <row r="46" spans="1:28" x14ac:dyDescent="0.3">
      <c r="A46" s="64"/>
      <c r="B46" s="8"/>
      <c r="C46" s="8"/>
      <c r="D46" s="35"/>
      <c r="E46" s="625"/>
      <c r="F46" s="625"/>
      <c r="H46" s="64" t="s">
        <v>691</v>
      </c>
      <c r="I46" s="8" t="s">
        <v>681</v>
      </c>
      <c r="J46" s="8"/>
      <c r="K46" s="18">
        <v>33.200000000000003</v>
      </c>
      <c r="L46" s="192" t="s">
        <v>682</v>
      </c>
      <c r="M46" s="192"/>
      <c r="N46" s="21" t="s">
        <v>692</v>
      </c>
      <c r="O46" s="98"/>
    </row>
    <row r="47" spans="1:28" x14ac:dyDescent="0.3">
      <c r="A47" s="64" t="s">
        <v>693</v>
      </c>
      <c r="B47" s="8" t="s">
        <v>688</v>
      </c>
      <c r="C47" s="8" t="s">
        <v>670</v>
      </c>
      <c r="D47" s="35">
        <v>0.154</v>
      </c>
      <c r="E47" s="625" t="s">
        <v>671</v>
      </c>
      <c r="F47" s="625"/>
      <c r="H47" s="64"/>
      <c r="I47" s="8"/>
      <c r="J47" s="80" t="s">
        <v>30</v>
      </c>
      <c r="K47" s="71">
        <f>AVERAGE(K46)</f>
        <v>33.200000000000003</v>
      </c>
      <c r="L47" s="747"/>
      <c r="M47" s="747"/>
      <c r="N47" s="21"/>
      <c r="O47" s="98"/>
    </row>
    <row r="48" spans="1:28" x14ac:dyDescent="0.3">
      <c r="A48" s="64" t="s">
        <v>693</v>
      </c>
      <c r="B48" s="8" t="s">
        <v>675</v>
      </c>
      <c r="C48" s="8" t="s">
        <v>676</v>
      </c>
      <c r="D48" s="35">
        <v>0.16300000000000001</v>
      </c>
      <c r="E48" s="625" t="s">
        <v>671</v>
      </c>
      <c r="F48" s="625"/>
      <c r="H48" s="64"/>
      <c r="I48" s="8"/>
      <c r="J48" s="80"/>
      <c r="K48" s="71"/>
      <c r="L48" s="747"/>
      <c r="M48" s="747"/>
      <c r="N48" s="21"/>
      <c r="O48" s="98"/>
    </row>
    <row r="49" spans="1:15" x14ac:dyDescent="0.3">
      <c r="A49" s="64" t="s">
        <v>693</v>
      </c>
      <c r="B49" s="8" t="s">
        <v>679</v>
      </c>
      <c r="C49" s="8" t="s">
        <v>680</v>
      </c>
      <c r="D49" s="35">
        <v>0.41699999999999998</v>
      </c>
      <c r="E49" s="625" t="s">
        <v>671</v>
      </c>
      <c r="F49" s="625"/>
      <c r="H49" s="64" t="s">
        <v>694</v>
      </c>
      <c r="I49" s="8" t="s">
        <v>695</v>
      </c>
      <c r="J49" s="80"/>
      <c r="K49" s="18">
        <v>20.8</v>
      </c>
      <c r="L49" s="747" t="s">
        <v>678</v>
      </c>
      <c r="M49" s="747"/>
      <c r="N49" s="21"/>
      <c r="O49" s="98"/>
    </row>
    <row r="50" spans="1:15" x14ac:dyDescent="0.3">
      <c r="A50" s="64" t="s">
        <v>693</v>
      </c>
      <c r="B50" s="8" t="s">
        <v>689</v>
      </c>
      <c r="C50" s="8" t="s">
        <v>696</v>
      </c>
      <c r="D50" s="35">
        <v>0.189</v>
      </c>
      <c r="E50" s="625" t="s">
        <v>671</v>
      </c>
      <c r="F50" s="625"/>
      <c r="H50" s="64"/>
      <c r="I50" s="8"/>
      <c r="J50" s="80" t="s">
        <v>30</v>
      </c>
      <c r="K50" s="71">
        <f>AVERAGE(K49)</f>
        <v>20.8</v>
      </c>
      <c r="L50" s="747"/>
      <c r="M50" s="747"/>
      <c r="N50" s="21"/>
      <c r="O50" s="98"/>
    </row>
    <row r="51" spans="1:15" x14ac:dyDescent="0.3">
      <c r="A51" s="64" t="s">
        <v>693</v>
      </c>
      <c r="B51" s="8" t="s">
        <v>697</v>
      </c>
      <c r="C51" s="8" t="s">
        <v>698</v>
      </c>
      <c r="D51" s="35">
        <v>0.27</v>
      </c>
      <c r="E51" s="625" t="s">
        <v>671</v>
      </c>
      <c r="F51" s="625"/>
      <c r="H51" s="64"/>
      <c r="I51" s="8"/>
      <c r="J51" s="80"/>
      <c r="K51" s="71"/>
      <c r="L51" s="747"/>
      <c r="M51" s="747"/>
      <c r="N51" s="21"/>
      <c r="O51" s="98"/>
    </row>
    <row r="52" spans="1:15" x14ac:dyDescent="0.3">
      <c r="A52" s="64" t="s">
        <v>693</v>
      </c>
      <c r="B52" s="8" t="s">
        <v>699</v>
      </c>
      <c r="C52" s="8" t="s">
        <v>700</v>
      </c>
      <c r="D52" s="35">
        <v>5.2999999999999999E-2</v>
      </c>
      <c r="E52" s="625" t="s">
        <v>671</v>
      </c>
      <c r="F52" s="625"/>
      <c r="H52" s="64" t="s">
        <v>701</v>
      </c>
      <c r="I52" s="8" t="s">
        <v>684</v>
      </c>
      <c r="J52" s="8"/>
      <c r="K52" s="18">
        <v>15.2</v>
      </c>
      <c r="L52" s="747" t="s">
        <v>685</v>
      </c>
      <c r="M52" s="747"/>
      <c r="N52" s="193" t="s">
        <v>702</v>
      </c>
      <c r="O52" s="98"/>
    </row>
    <row r="53" spans="1:15" x14ac:dyDescent="0.3">
      <c r="A53" s="64" t="s">
        <v>693</v>
      </c>
      <c r="B53" s="8" t="s">
        <v>703</v>
      </c>
      <c r="C53" s="8" t="s">
        <v>704</v>
      </c>
      <c r="D53" s="35">
        <v>2.5999999999999999E-2</v>
      </c>
      <c r="E53" s="625" t="s">
        <v>671</v>
      </c>
      <c r="F53" s="625"/>
      <c r="H53" s="64"/>
      <c r="I53" s="8"/>
      <c r="J53" s="80" t="s">
        <v>30</v>
      </c>
      <c r="K53" s="71">
        <f>AVERAGE(K52)</f>
        <v>15.2</v>
      </c>
      <c r="L53" s="747"/>
      <c r="M53" s="747"/>
      <c r="N53" s="21"/>
      <c r="O53" s="98"/>
    </row>
    <row r="54" spans="1:15" x14ac:dyDescent="0.3">
      <c r="A54" s="64" t="s">
        <v>693</v>
      </c>
      <c r="B54" s="8" t="s">
        <v>705</v>
      </c>
      <c r="C54" s="8" t="s">
        <v>704</v>
      </c>
      <c r="D54" s="35">
        <v>4.2000000000000003E-2</v>
      </c>
      <c r="E54" s="625" t="s">
        <v>671</v>
      </c>
      <c r="F54" s="625"/>
      <c r="H54" s="64"/>
      <c r="I54" s="8"/>
      <c r="J54" s="80"/>
      <c r="K54" s="71"/>
      <c r="L54" s="747"/>
      <c r="M54" s="747"/>
      <c r="N54" s="21"/>
      <c r="O54" s="98"/>
    </row>
    <row r="55" spans="1:15" x14ac:dyDescent="0.3">
      <c r="A55" s="64"/>
      <c r="B55" s="8"/>
      <c r="C55" s="80" t="s">
        <v>30</v>
      </c>
      <c r="D55" s="118">
        <f>AVERAGE(D47:D54)</f>
        <v>0.16425000000000001</v>
      </c>
      <c r="E55" s="625"/>
      <c r="F55" s="625"/>
      <c r="H55" s="64" t="s">
        <v>706</v>
      </c>
      <c r="I55" s="8" t="s">
        <v>695</v>
      </c>
      <c r="J55" s="80"/>
      <c r="K55" s="18">
        <v>10.95</v>
      </c>
      <c r="L55" s="747" t="s">
        <v>678</v>
      </c>
      <c r="M55" s="747"/>
      <c r="N55" s="21"/>
      <c r="O55" s="98"/>
    </row>
    <row r="56" spans="1:15" x14ac:dyDescent="0.3">
      <c r="A56" s="64"/>
      <c r="B56" s="8"/>
      <c r="C56" s="8"/>
      <c r="D56" s="35"/>
      <c r="E56" s="625"/>
      <c r="F56" s="625"/>
      <c r="H56" s="64"/>
      <c r="I56" s="8"/>
      <c r="J56" s="80" t="s">
        <v>30</v>
      </c>
      <c r="K56" s="71">
        <f>AVERAGE(K55)</f>
        <v>10.95</v>
      </c>
      <c r="L56" s="747"/>
      <c r="M56" s="747"/>
      <c r="N56" s="21"/>
      <c r="O56" s="98"/>
    </row>
    <row r="57" spans="1:15" x14ac:dyDescent="0.3">
      <c r="A57" s="64" t="s">
        <v>701</v>
      </c>
      <c r="B57" s="8" t="s">
        <v>707</v>
      </c>
      <c r="C57" s="8" t="s">
        <v>696</v>
      </c>
      <c r="D57" s="35">
        <v>4.0000000000000001E-3</v>
      </c>
      <c r="E57" s="625" t="s">
        <v>671</v>
      </c>
      <c r="F57" s="625"/>
      <c r="H57" s="64"/>
      <c r="I57" s="8"/>
      <c r="J57" s="8"/>
      <c r="K57" s="18"/>
      <c r="L57" s="747"/>
      <c r="M57" s="747"/>
      <c r="N57" s="21"/>
      <c r="O57" s="98"/>
    </row>
    <row r="58" spans="1:15" x14ac:dyDescent="0.3">
      <c r="A58" s="64"/>
      <c r="B58" s="8"/>
      <c r="C58" s="80" t="s">
        <v>30</v>
      </c>
      <c r="D58" s="118">
        <f>AVERAGE(D57)</f>
        <v>4.0000000000000001E-3</v>
      </c>
      <c r="E58" s="625"/>
      <c r="F58" s="625"/>
      <c r="H58" s="64" t="s">
        <v>708</v>
      </c>
      <c r="I58" s="8" t="s">
        <v>709</v>
      </c>
      <c r="J58" s="8" t="s">
        <v>710</v>
      </c>
      <c r="K58" s="18">
        <v>7</v>
      </c>
      <c r="L58" s="8" t="s">
        <v>711</v>
      </c>
      <c r="M58" s="8"/>
      <c r="N58" s="21"/>
      <c r="O58" s="98"/>
    </row>
    <row r="59" spans="1:15" x14ac:dyDescent="0.3">
      <c r="A59" s="64"/>
      <c r="B59" s="8"/>
      <c r="C59" s="8"/>
      <c r="D59" s="35"/>
      <c r="E59" s="625"/>
      <c r="F59" s="625"/>
      <c r="H59" s="64" t="s">
        <v>708</v>
      </c>
      <c r="I59" s="8" t="s">
        <v>712</v>
      </c>
      <c r="J59" s="8" t="s">
        <v>713</v>
      </c>
      <c r="K59" s="18">
        <v>8.1</v>
      </c>
      <c r="L59" s="625" t="s">
        <v>714</v>
      </c>
      <c r="M59" s="625"/>
      <c r="N59" s="21"/>
      <c r="O59" s="98"/>
    </row>
    <row r="60" spans="1:15" x14ac:dyDescent="0.3">
      <c r="A60" s="64" t="s">
        <v>708</v>
      </c>
      <c r="B60" s="8" t="s">
        <v>709</v>
      </c>
      <c r="C60" s="8" t="s">
        <v>710</v>
      </c>
      <c r="D60" s="35">
        <v>3.0000000000000001E-3</v>
      </c>
      <c r="E60" s="625" t="s">
        <v>711</v>
      </c>
      <c r="F60" s="625"/>
      <c r="H60" s="64" t="s">
        <v>708</v>
      </c>
      <c r="I60" s="8" t="s">
        <v>684</v>
      </c>
      <c r="J60" s="8"/>
      <c r="K60" s="18">
        <v>12.5</v>
      </c>
      <c r="L60" s="747" t="s">
        <v>685</v>
      </c>
      <c r="M60" s="747"/>
      <c r="N60" s="193" t="s">
        <v>715</v>
      </c>
      <c r="O60" s="98"/>
    </row>
    <row r="61" spans="1:15" x14ac:dyDescent="0.3">
      <c r="A61" s="64" t="s">
        <v>708</v>
      </c>
      <c r="B61" s="8" t="s">
        <v>688</v>
      </c>
      <c r="C61" s="8" t="s">
        <v>670</v>
      </c>
      <c r="D61" s="35">
        <v>2.3E-2</v>
      </c>
      <c r="E61" s="625" t="s">
        <v>671</v>
      </c>
      <c r="F61" s="625"/>
      <c r="H61" s="64"/>
      <c r="I61" s="8"/>
      <c r="J61" s="80" t="s">
        <v>30</v>
      </c>
      <c r="K61" s="71">
        <f>AVERAGE(K58:K60)</f>
        <v>9.2000000000000011</v>
      </c>
      <c r="L61" s="625"/>
      <c r="M61" s="625"/>
      <c r="N61" s="21"/>
      <c r="O61" s="98"/>
    </row>
    <row r="62" spans="1:15" x14ac:dyDescent="0.3">
      <c r="A62" s="64" t="s">
        <v>708</v>
      </c>
      <c r="B62" s="8" t="s">
        <v>675</v>
      </c>
      <c r="C62" s="8" t="s">
        <v>676</v>
      </c>
      <c r="D62" s="35">
        <v>3.5000000000000003E-2</v>
      </c>
      <c r="E62" s="625" t="s">
        <v>671</v>
      </c>
      <c r="F62" s="625"/>
      <c r="H62" s="64"/>
      <c r="I62" s="8"/>
      <c r="J62" s="8"/>
      <c r="K62" s="18"/>
      <c r="L62" s="625"/>
      <c r="M62" s="625"/>
      <c r="N62" s="21"/>
      <c r="O62" s="98"/>
    </row>
    <row r="63" spans="1:15" x14ac:dyDescent="0.3">
      <c r="A63" s="64" t="s">
        <v>708</v>
      </c>
      <c r="B63" s="8" t="s">
        <v>716</v>
      </c>
      <c r="C63" s="8" t="s">
        <v>717</v>
      </c>
      <c r="D63" s="35">
        <v>1.2999999999999999E-2</v>
      </c>
      <c r="E63" s="625" t="s">
        <v>671</v>
      </c>
      <c r="F63" s="625"/>
      <c r="H63" s="64" t="s">
        <v>718</v>
      </c>
      <c r="I63" s="8" t="s">
        <v>719</v>
      </c>
      <c r="J63" s="8" t="s">
        <v>720</v>
      </c>
      <c r="K63" s="18">
        <v>6</v>
      </c>
      <c r="L63" s="625" t="s">
        <v>721</v>
      </c>
      <c r="M63" s="625"/>
      <c r="N63" s="21"/>
      <c r="O63" s="98"/>
    </row>
    <row r="64" spans="1:15" x14ac:dyDescent="0.3">
      <c r="A64" s="64" t="s">
        <v>708</v>
      </c>
      <c r="B64" s="8" t="s">
        <v>703</v>
      </c>
      <c r="C64" s="8" t="s">
        <v>704</v>
      </c>
      <c r="D64" s="35">
        <v>8.0000000000000002E-3</v>
      </c>
      <c r="E64" s="625" t="s">
        <v>671</v>
      </c>
      <c r="F64" s="625"/>
      <c r="H64" s="64" t="s">
        <v>718</v>
      </c>
      <c r="I64" s="8" t="s">
        <v>722</v>
      </c>
      <c r="J64" s="8" t="s">
        <v>720</v>
      </c>
      <c r="K64" s="18">
        <v>4.2</v>
      </c>
      <c r="L64" s="625" t="s">
        <v>723</v>
      </c>
      <c r="M64" s="625"/>
      <c r="N64" s="21"/>
      <c r="O64" s="98"/>
    </row>
    <row r="65" spans="1:15" x14ac:dyDescent="0.3">
      <c r="A65" s="64" t="s">
        <v>708</v>
      </c>
      <c r="B65" s="8" t="s">
        <v>705</v>
      </c>
      <c r="C65" s="8" t="s">
        <v>704</v>
      </c>
      <c r="D65" s="35">
        <v>1.4999999999999999E-2</v>
      </c>
      <c r="E65" s="625" t="s">
        <v>671</v>
      </c>
      <c r="F65" s="625"/>
      <c r="H65" s="64" t="s">
        <v>718</v>
      </c>
      <c r="I65" s="8" t="s">
        <v>724</v>
      </c>
      <c r="J65" s="8" t="s">
        <v>725</v>
      </c>
      <c r="K65" s="18">
        <v>7.7</v>
      </c>
      <c r="L65" s="625" t="s">
        <v>726</v>
      </c>
      <c r="M65" s="625"/>
      <c r="N65" s="21"/>
      <c r="O65" s="98"/>
    </row>
    <row r="66" spans="1:15" x14ac:dyDescent="0.3">
      <c r="A66" s="64" t="s">
        <v>708</v>
      </c>
      <c r="B66" s="8" t="s">
        <v>727</v>
      </c>
      <c r="C66" s="8" t="s">
        <v>728</v>
      </c>
      <c r="D66" s="35">
        <v>0.05</v>
      </c>
      <c r="E66" s="8" t="s">
        <v>729</v>
      </c>
      <c r="F66" s="8"/>
      <c r="H66" s="64" t="s">
        <v>718</v>
      </c>
      <c r="I66" s="8" t="s">
        <v>695</v>
      </c>
      <c r="J66" s="80"/>
      <c r="K66" s="18">
        <v>7.7</v>
      </c>
      <c r="L66" s="747" t="s">
        <v>678</v>
      </c>
      <c r="M66" s="747"/>
      <c r="N66" s="21"/>
      <c r="O66" s="98"/>
    </row>
    <row r="67" spans="1:15" x14ac:dyDescent="0.3">
      <c r="A67" s="64"/>
      <c r="B67" s="8"/>
      <c r="C67" s="80" t="s">
        <v>30</v>
      </c>
      <c r="D67" s="118">
        <f>AVERAGE(D60:D66)</f>
        <v>2.0999999999999998E-2</v>
      </c>
      <c r="E67" s="625"/>
      <c r="F67" s="625"/>
      <c r="H67" s="64" t="s">
        <v>718</v>
      </c>
      <c r="I67" s="8" t="s">
        <v>730</v>
      </c>
      <c r="J67" s="8" t="s">
        <v>731</v>
      </c>
      <c r="K67" s="18">
        <v>14.6</v>
      </c>
      <c r="L67" s="747" t="s">
        <v>732</v>
      </c>
      <c r="M67" s="747"/>
      <c r="N67" s="21" t="s">
        <v>702</v>
      </c>
      <c r="O67" s="98"/>
    </row>
    <row r="68" spans="1:15" x14ac:dyDescent="0.3">
      <c r="A68" s="64"/>
      <c r="B68" s="8"/>
      <c r="C68" s="8"/>
      <c r="D68" s="35"/>
      <c r="E68" s="625"/>
      <c r="F68" s="625"/>
      <c r="H68" s="64"/>
      <c r="I68" s="8"/>
      <c r="J68" s="80" t="s">
        <v>30</v>
      </c>
      <c r="K68" s="71">
        <f>AVERAGE(K63:K67)</f>
        <v>8.0399999999999991</v>
      </c>
      <c r="L68" s="625"/>
      <c r="M68" s="625"/>
      <c r="N68" s="21"/>
      <c r="O68" s="98"/>
    </row>
    <row r="69" spans="1:15" x14ac:dyDescent="0.3">
      <c r="A69" s="64" t="s">
        <v>718</v>
      </c>
      <c r="B69" s="8" t="s">
        <v>719</v>
      </c>
      <c r="C69" s="8" t="s">
        <v>720</v>
      </c>
      <c r="D69" s="35">
        <v>2.5999999999999999E-2</v>
      </c>
      <c r="E69" s="625" t="s">
        <v>721</v>
      </c>
      <c r="F69" s="625"/>
      <c r="H69" s="64"/>
      <c r="I69" s="8"/>
      <c r="J69" s="8"/>
      <c r="K69" s="18"/>
      <c r="L69" s="625"/>
      <c r="M69" s="625"/>
      <c r="N69" s="21"/>
      <c r="O69" s="98"/>
    </row>
    <row r="70" spans="1:15" x14ac:dyDescent="0.3">
      <c r="A70" s="64" t="s">
        <v>718</v>
      </c>
      <c r="B70" s="8" t="s">
        <v>722</v>
      </c>
      <c r="C70" s="8" t="s">
        <v>720</v>
      </c>
      <c r="D70" s="35">
        <v>5.2999999999999999E-2</v>
      </c>
      <c r="E70" s="625" t="s">
        <v>723</v>
      </c>
      <c r="F70" s="625"/>
      <c r="H70" s="64" t="s">
        <v>733</v>
      </c>
      <c r="I70" s="8" t="s">
        <v>709</v>
      </c>
      <c r="J70" s="8" t="s">
        <v>710</v>
      </c>
      <c r="K70" s="18">
        <v>4.4000000000000004</v>
      </c>
      <c r="L70" s="625" t="s">
        <v>734</v>
      </c>
      <c r="M70" s="625"/>
      <c r="N70" s="194"/>
      <c r="O70" s="98"/>
    </row>
    <row r="71" spans="1:15" x14ac:dyDescent="0.3">
      <c r="A71" s="64" t="s">
        <v>718</v>
      </c>
      <c r="B71" s="8" t="s">
        <v>735</v>
      </c>
      <c r="C71" s="8" t="s">
        <v>736</v>
      </c>
      <c r="D71" s="35">
        <v>2.1999999999999999E-2</v>
      </c>
      <c r="E71" s="625" t="s">
        <v>737</v>
      </c>
      <c r="F71" s="625"/>
      <c r="H71" s="64" t="s">
        <v>733</v>
      </c>
      <c r="I71" s="8" t="s">
        <v>738</v>
      </c>
      <c r="J71" s="8"/>
      <c r="K71" s="18">
        <v>8.1</v>
      </c>
      <c r="L71" s="747" t="s">
        <v>739</v>
      </c>
      <c r="M71" s="747"/>
      <c r="N71" s="193">
        <v>45</v>
      </c>
      <c r="O71" s="98"/>
    </row>
    <row r="72" spans="1:15" x14ac:dyDescent="0.3">
      <c r="A72" s="64" t="s">
        <v>718</v>
      </c>
      <c r="B72" s="8" t="s">
        <v>735</v>
      </c>
      <c r="C72" s="8" t="s">
        <v>740</v>
      </c>
      <c r="D72" s="35">
        <v>2.5000000000000001E-2</v>
      </c>
      <c r="E72" s="625" t="s">
        <v>737</v>
      </c>
      <c r="F72" s="625"/>
      <c r="H72" s="64" t="s">
        <v>733</v>
      </c>
      <c r="I72" s="8" t="s">
        <v>741</v>
      </c>
      <c r="J72" s="8"/>
      <c r="K72" s="18">
        <v>11.7</v>
      </c>
      <c r="L72" s="747" t="s">
        <v>742</v>
      </c>
      <c r="M72" s="747"/>
      <c r="N72" s="193">
        <v>31</v>
      </c>
      <c r="O72" s="98"/>
    </row>
    <row r="73" spans="1:15" x14ac:dyDescent="0.3">
      <c r="A73" s="64" t="s">
        <v>718</v>
      </c>
      <c r="B73" s="8" t="s">
        <v>735</v>
      </c>
      <c r="C73" s="8" t="s">
        <v>743</v>
      </c>
      <c r="D73" s="35">
        <v>5.6000000000000001E-2</v>
      </c>
      <c r="E73" s="625" t="s">
        <v>737</v>
      </c>
      <c r="F73" s="625"/>
      <c r="H73" s="64" t="s">
        <v>733</v>
      </c>
      <c r="I73" s="8" t="s">
        <v>744</v>
      </c>
      <c r="J73" s="8"/>
      <c r="K73" s="18">
        <v>12.5</v>
      </c>
      <c r="L73" s="750" t="s">
        <v>745</v>
      </c>
      <c r="M73" s="750"/>
      <c r="N73" s="193">
        <v>29</v>
      </c>
      <c r="O73" s="98"/>
    </row>
    <row r="74" spans="1:15" x14ac:dyDescent="0.3">
      <c r="A74" s="64"/>
      <c r="B74" s="8"/>
      <c r="C74" s="80" t="s">
        <v>30</v>
      </c>
      <c r="D74" s="118">
        <f>AVERAGE(D69:D73)</f>
        <v>3.6400000000000002E-2</v>
      </c>
      <c r="E74" s="625"/>
      <c r="F74" s="625"/>
      <c r="H74" s="64" t="s">
        <v>733</v>
      </c>
      <c r="I74" s="8" t="s">
        <v>746</v>
      </c>
      <c r="J74" s="8"/>
      <c r="K74" s="18">
        <v>9.4</v>
      </c>
      <c r="L74" s="750" t="s">
        <v>745</v>
      </c>
      <c r="M74" s="750"/>
      <c r="N74" s="193">
        <v>38.9</v>
      </c>
      <c r="O74" s="98"/>
    </row>
    <row r="75" spans="1:15" x14ac:dyDescent="0.3">
      <c r="A75" s="8"/>
      <c r="B75" s="8"/>
      <c r="C75" s="8"/>
      <c r="D75" s="35"/>
      <c r="E75" s="625"/>
      <c r="F75" s="625"/>
      <c r="H75" s="64" t="s">
        <v>733</v>
      </c>
      <c r="I75" s="8" t="s">
        <v>296</v>
      </c>
      <c r="J75" s="8"/>
      <c r="K75" s="18">
        <v>10.7</v>
      </c>
      <c r="L75" s="750" t="s">
        <v>745</v>
      </c>
      <c r="M75" s="750"/>
      <c r="N75" s="193">
        <v>34</v>
      </c>
      <c r="O75" s="98"/>
    </row>
    <row r="76" spans="1:15" x14ac:dyDescent="0.3">
      <c r="A76" s="64" t="s">
        <v>733</v>
      </c>
      <c r="B76" s="8" t="s">
        <v>709</v>
      </c>
      <c r="C76" s="8" t="s">
        <v>710</v>
      </c>
      <c r="D76" s="35">
        <v>8.9999999999999993E-3</v>
      </c>
      <c r="E76" s="625" t="s">
        <v>747</v>
      </c>
      <c r="F76" s="625"/>
      <c r="H76" s="64" t="s">
        <v>733</v>
      </c>
      <c r="I76" s="8" t="s">
        <v>673</v>
      </c>
      <c r="J76" s="8"/>
      <c r="K76" s="18">
        <v>8.1</v>
      </c>
      <c r="L76" s="747" t="s">
        <v>674</v>
      </c>
      <c r="M76" s="747"/>
      <c r="N76" s="193">
        <v>45.1</v>
      </c>
      <c r="O76" s="98"/>
    </row>
    <row r="77" spans="1:15" x14ac:dyDescent="0.3">
      <c r="A77" s="64" t="s">
        <v>733</v>
      </c>
      <c r="B77" s="8" t="s">
        <v>727</v>
      </c>
      <c r="C77" s="8" t="s">
        <v>728</v>
      </c>
      <c r="D77" s="35">
        <v>0.06</v>
      </c>
      <c r="E77" s="8" t="s">
        <v>729</v>
      </c>
      <c r="F77" s="8"/>
      <c r="H77" s="8"/>
      <c r="I77" s="8"/>
      <c r="J77" s="162" t="s">
        <v>30</v>
      </c>
      <c r="K77" s="71">
        <f>AVERAGE(K70:K76)</f>
        <v>9.2714285714285705</v>
      </c>
      <c r="L77" s="747"/>
      <c r="M77" s="747"/>
      <c r="N77" s="193"/>
      <c r="O77" s="97"/>
    </row>
    <row r="78" spans="1:15" x14ac:dyDescent="0.3">
      <c r="A78" s="8"/>
      <c r="B78" s="8"/>
      <c r="C78" s="80" t="s">
        <v>30</v>
      </c>
      <c r="D78" s="118">
        <f>AVERAGE(D76:D77)</f>
        <v>3.4499999999999996E-2</v>
      </c>
      <c r="E78" s="625"/>
      <c r="F78" s="625"/>
      <c r="I78" s="12"/>
      <c r="K78" s="36"/>
      <c r="L78" s="101"/>
      <c r="M78" s="101"/>
      <c r="N78" s="97"/>
      <c r="O78" s="97"/>
    </row>
    <row r="79" spans="1:15" x14ac:dyDescent="0.3">
      <c r="C79" s="4"/>
      <c r="D79" s="124"/>
    </row>
    <row r="80" spans="1:15" x14ac:dyDescent="0.3">
      <c r="C80" s="4"/>
      <c r="D80" s="124"/>
    </row>
    <row r="81" spans="4:4" x14ac:dyDescent="0.3">
      <c r="D81" s="3"/>
    </row>
    <row r="82" spans="4:4" x14ac:dyDescent="0.3">
      <c r="D82" s="3"/>
    </row>
    <row r="83" spans="4:4" x14ac:dyDescent="0.3">
      <c r="D83" s="3"/>
    </row>
    <row r="84" spans="4:4" x14ac:dyDescent="0.3">
      <c r="D84" s="3"/>
    </row>
    <row r="85" spans="4:4" x14ac:dyDescent="0.3">
      <c r="D85" s="3"/>
    </row>
    <row r="86" spans="4:4" x14ac:dyDescent="0.3">
      <c r="D86" s="3"/>
    </row>
    <row r="87" spans="4:4" x14ac:dyDescent="0.3">
      <c r="D87" s="3"/>
    </row>
    <row r="88" spans="4:4" x14ac:dyDescent="0.3">
      <c r="D88" s="3"/>
    </row>
    <row r="89" spans="4:4" x14ac:dyDescent="0.3">
      <c r="D89" s="3"/>
    </row>
    <row r="90" spans="4:4" x14ac:dyDescent="0.3">
      <c r="D90" s="3"/>
    </row>
    <row r="91" spans="4:4" x14ac:dyDescent="0.3">
      <c r="D91" s="3"/>
    </row>
    <row r="92" spans="4:4" x14ac:dyDescent="0.3">
      <c r="D92" s="3"/>
    </row>
    <row r="93" spans="4:4" x14ac:dyDescent="0.3">
      <c r="D93" s="3"/>
    </row>
    <row r="94" spans="4:4" x14ac:dyDescent="0.3">
      <c r="D94" s="3"/>
    </row>
    <row r="95" spans="4:4" x14ac:dyDescent="0.3">
      <c r="D95" s="3"/>
    </row>
    <row r="96" spans="4:4" x14ac:dyDescent="0.3">
      <c r="D96" s="3"/>
    </row>
    <row r="97" spans="2:7" x14ac:dyDescent="0.3">
      <c r="D97" s="3"/>
    </row>
    <row r="98" spans="2:7" x14ac:dyDescent="0.3">
      <c r="D98" s="3"/>
    </row>
    <row r="99" spans="2:7" x14ac:dyDescent="0.3">
      <c r="D99" s="3"/>
    </row>
    <row r="100" spans="2:7" x14ac:dyDescent="0.3">
      <c r="D100" s="3"/>
    </row>
    <row r="101" spans="2:7" x14ac:dyDescent="0.3">
      <c r="D101" s="3"/>
    </row>
    <row r="102" spans="2:7" x14ac:dyDescent="0.3">
      <c r="D102" s="3"/>
    </row>
    <row r="103" spans="2:7" x14ac:dyDescent="0.3">
      <c r="D103" s="3"/>
    </row>
    <row r="104" spans="2:7" x14ac:dyDescent="0.3">
      <c r="D104" s="3"/>
      <c r="G104" s="97"/>
    </row>
    <row r="105" spans="2:7" x14ac:dyDescent="0.3">
      <c r="D105" s="3"/>
      <c r="G105" s="97"/>
    </row>
    <row r="106" spans="2:7" x14ac:dyDescent="0.3">
      <c r="B106" s="12"/>
      <c r="D106" s="36"/>
      <c r="E106" s="101"/>
      <c r="F106" s="97"/>
      <c r="G106" s="97"/>
    </row>
    <row r="107" spans="2:7" x14ac:dyDescent="0.3">
      <c r="B107" s="12"/>
      <c r="D107" s="36"/>
      <c r="E107" s="101"/>
      <c r="F107" s="97"/>
    </row>
    <row r="108" spans="2:7" x14ac:dyDescent="0.3">
      <c r="B108" s="12"/>
      <c r="D108" s="36"/>
      <c r="E108" s="97"/>
      <c r="F108" s="97"/>
    </row>
    <row r="109" spans="2:7" x14ac:dyDescent="0.3">
      <c r="B109" s="12"/>
      <c r="D109" s="36"/>
      <c r="E109" s="97"/>
      <c r="F109" s="97"/>
    </row>
    <row r="110" spans="2:7" x14ac:dyDescent="0.3">
      <c r="B110" s="12"/>
      <c r="D110" s="36"/>
      <c r="E110" s="97"/>
      <c r="F110" s="97"/>
    </row>
    <row r="111" spans="2:7" x14ac:dyDescent="0.3">
      <c r="B111" s="12"/>
      <c r="D111" s="36"/>
      <c r="E111" s="97"/>
      <c r="F111" s="97"/>
    </row>
    <row r="112" spans="2:7" x14ac:dyDescent="0.3">
      <c r="D112" s="36"/>
      <c r="E112" s="59"/>
    </row>
    <row r="113" spans="2:11" x14ac:dyDescent="0.3">
      <c r="D113" s="36"/>
      <c r="E113" s="59"/>
      <c r="G113" s="97"/>
      <c r="H113" s="28"/>
      <c r="I113" s="28"/>
      <c r="J113" s="28"/>
      <c r="K113" s="28"/>
    </row>
    <row r="114" spans="2:11" x14ac:dyDescent="0.3">
      <c r="D114" s="36"/>
      <c r="E114" s="99"/>
      <c r="G114" s="97"/>
    </row>
    <row r="115" spans="2:11" x14ac:dyDescent="0.3">
      <c r="D115" s="36"/>
      <c r="E115" s="97"/>
      <c r="G115" s="97"/>
    </row>
    <row r="116" spans="2:11" x14ac:dyDescent="0.3">
      <c r="E116" s="97"/>
      <c r="G116" s="97"/>
    </row>
    <row r="117" spans="2:11" x14ac:dyDescent="0.3">
      <c r="E117" s="97"/>
      <c r="G117" s="141"/>
    </row>
    <row r="118" spans="2:11" x14ac:dyDescent="0.3">
      <c r="B118" s="72"/>
      <c r="C118" s="72"/>
      <c r="D118" s="124"/>
      <c r="E118" s="97"/>
      <c r="G118" s="97"/>
    </row>
    <row r="119" spans="2:11" x14ac:dyDescent="0.3">
      <c r="E119" s="97"/>
      <c r="G119" s="97"/>
    </row>
    <row r="120" spans="2:11" x14ac:dyDescent="0.3">
      <c r="E120" s="97"/>
    </row>
    <row r="121" spans="2:11" x14ac:dyDescent="0.3">
      <c r="E121" s="97"/>
    </row>
  </sheetData>
  <mergeCells count="91">
    <mergeCell ref="L77:M77"/>
    <mergeCell ref="E78:F78"/>
    <mergeCell ref="F2:J4"/>
    <mergeCell ref="E74:F74"/>
    <mergeCell ref="L74:M74"/>
    <mergeCell ref="E75:F75"/>
    <mergeCell ref="L75:M75"/>
    <mergeCell ref="E76:F76"/>
    <mergeCell ref="L76:M76"/>
    <mergeCell ref="E71:F71"/>
    <mergeCell ref="L71:M71"/>
    <mergeCell ref="E72:F72"/>
    <mergeCell ref="L72:M72"/>
    <mergeCell ref="E73:F73"/>
    <mergeCell ref="L73:M73"/>
    <mergeCell ref="E68:F68"/>
    <mergeCell ref="L68:M68"/>
    <mergeCell ref="E69:F69"/>
    <mergeCell ref="L69:M69"/>
    <mergeCell ref="E70:F70"/>
    <mergeCell ref="L70:M70"/>
    <mergeCell ref="E65:F65"/>
    <mergeCell ref="L65:M65"/>
    <mergeCell ref="L66:M66"/>
    <mergeCell ref="E67:F67"/>
    <mergeCell ref="L67:M67"/>
    <mergeCell ref="E62:F62"/>
    <mergeCell ref="L62:M62"/>
    <mergeCell ref="E63:F63"/>
    <mergeCell ref="L63:M63"/>
    <mergeCell ref="E64:F64"/>
    <mergeCell ref="L64:M64"/>
    <mergeCell ref="E59:F59"/>
    <mergeCell ref="L59:M59"/>
    <mergeCell ref="E60:F60"/>
    <mergeCell ref="L60:M60"/>
    <mergeCell ref="E61:F61"/>
    <mergeCell ref="L61:M61"/>
    <mergeCell ref="E56:F56"/>
    <mergeCell ref="L56:M56"/>
    <mergeCell ref="E57:F57"/>
    <mergeCell ref="L57:M57"/>
    <mergeCell ref="E58:F58"/>
    <mergeCell ref="E53:F53"/>
    <mergeCell ref="L53:M53"/>
    <mergeCell ref="E54:F54"/>
    <mergeCell ref="L54:M54"/>
    <mergeCell ref="E55:F55"/>
    <mergeCell ref="L55:M55"/>
    <mergeCell ref="L50:M50"/>
    <mergeCell ref="E51:F51"/>
    <mergeCell ref="L51:M51"/>
    <mergeCell ref="E52:F52"/>
    <mergeCell ref="L52:M52"/>
    <mergeCell ref="E50:F50"/>
    <mergeCell ref="H5:S5"/>
    <mergeCell ref="Q31:AB31"/>
    <mergeCell ref="E38:F38"/>
    <mergeCell ref="E49:F49"/>
    <mergeCell ref="E46:F46"/>
    <mergeCell ref="E47:F47"/>
    <mergeCell ref="E48:F48"/>
    <mergeCell ref="E40:F40"/>
    <mergeCell ref="E41:F41"/>
    <mergeCell ref="E42:F42"/>
    <mergeCell ref="E43:F43"/>
    <mergeCell ref="E44:F44"/>
    <mergeCell ref="E45:F45"/>
    <mergeCell ref="E34:F34"/>
    <mergeCell ref="E35:F35"/>
    <mergeCell ref="E36:F36"/>
    <mergeCell ref="E37:F37"/>
    <mergeCell ref="E39:F39"/>
    <mergeCell ref="E32:F32"/>
    <mergeCell ref="E33:F33"/>
    <mergeCell ref="L32:M32"/>
    <mergeCell ref="L34:M34"/>
    <mergeCell ref="L35:M35"/>
    <mergeCell ref="L36:M36"/>
    <mergeCell ref="L37:M37"/>
    <mergeCell ref="L38:M38"/>
    <mergeCell ref="L39:M39"/>
    <mergeCell ref="L40:M40"/>
    <mergeCell ref="L47:M47"/>
    <mergeCell ref="L48:M48"/>
    <mergeCell ref="L49:M49"/>
    <mergeCell ref="L41:M41"/>
    <mergeCell ref="L42:M42"/>
    <mergeCell ref="L43:M43"/>
    <mergeCell ref="L44:M44"/>
    <mergeCell ref="L45:M45"/>
  </mergeCells>
  <phoneticPr fontId="18" type="noConversion"/>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A4F4F-19EA-4C87-9A34-4EDECA9AD68C}">
  <sheetPr codeName="Sheet26"/>
  <dimension ref="A1:N100"/>
  <sheetViews>
    <sheetView topLeftCell="A18" zoomScale="85" zoomScaleNormal="85" workbookViewId="0">
      <selection activeCell="J7" sqref="J7"/>
    </sheetView>
  </sheetViews>
  <sheetFormatPr defaultRowHeight="15" x14ac:dyDescent="0.25"/>
  <cols>
    <col min="1" max="1" width="23" customWidth="1"/>
    <col min="2" max="2" width="19.140625" customWidth="1"/>
    <col min="3" max="3" width="12.42578125" customWidth="1"/>
    <col min="4" max="4" width="11.5703125" customWidth="1"/>
    <col min="5" max="5" width="14.28515625" customWidth="1"/>
    <col min="6" max="6" width="13.85546875" customWidth="1"/>
    <col min="7" max="7" width="13.140625" customWidth="1"/>
    <col min="8" max="8" width="15.5703125" customWidth="1"/>
    <col min="9" max="9" width="13.28515625" customWidth="1"/>
    <col min="10" max="10" width="18.140625" customWidth="1"/>
    <col min="11" max="11" width="13.140625" customWidth="1"/>
    <col min="12" max="12" width="11.140625" customWidth="1"/>
    <col min="13" max="13" width="12.42578125" customWidth="1"/>
    <col min="14" max="14" width="11.5703125" customWidth="1"/>
    <col min="15" max="15" width="20.140625" customWidth="1"/>
    <col min="16" max="16" width="16.42578125" customWidth="1"/>
    <col min="17" max="17" width="17.7109375" customWidth="1"/>
  </cols>
  <sheetData>
    <row r="1" spans="1:13" ht="16.5" x14ac:dyDescent="0.3">
      <c r="A1" s="4" t="s">
        <v>901</v>
      </c>
      <c r="B1" s="238" t="s">
        <v>149</v>
      </c>
      <c r="C1" s="238"/>
      <c r="D1" s="238"/>
    </row>
    <row r="2" spans="1:13" ht="15.75" x14ac:dyDescent="0.25">
      <c r="B2" s="239" t="s">
        <v>5</v>
      </c>
      <c r="C2" s="239"/>
    </row>
    <row r="4" spans="1:13" ht="16.5" x14ac:dyDescent="0.3">
      <c r="A4" s="43" t="s">
        <v>6</v>
      </c>
      <c r="B4" s="57"/>
      <c r="C4" s="24"/>
    </row>
    <row r="5" spans="1:13" ht="16.5" x14ac:dyDescent="0.3">
      <c r="A5" s="43" t="s">
        <v>7</v>
      </c>
      <c r="B5" s="57"/>
      <c r="C5" s="24"/>
    </row>
    <row r="6" spans="1:13" ht="18" x14ac:dyDescent="0.3">
      <c r="A6" s="43" t="s">
        <v>8</v>
      </c>
      <c r="B6" s="57"/>
      <c r="C6" s="24" t="s">
        <v>835</v>
      </c>
    </row>
    <row r="7" spans="1:13" ht="16.5" x14ac:dyDescent="0.3">
      <c r="C7" s="24"/>
    </row>
    <row r="8" spans="1:13" ht="17.25" x14ac:dyDescent="0.25">
      <c r="A8" s="315" t="s">
        <v>961</v>
      </c>
      <c r="B8" s="219"/>
      <c r="C8" s="219"/>
      <c r="D8" s="219"/>
      <c r="E8" s="219"/>
      <c r="F8" s="219"/>
    </row>
    <row r="9" spans="1:13" ht="33.75" customHeight="1" x14ac:dyDescent="0.3">
      <c r="A9" s="344" t="s">
        <v>874</v>
      </c>
      <c r="B9" s="374" t="s">
        <v>900</v>
      </c>
      <c r="C9" s="373" t="s">
        <v>156</v>
      </c>
      <c r="D9" t="s">
        <v>941</v>
      </c>
    </row>
    <row r="10" spans="1:13" ht="15" customHeight="1" x14ac:dyDescent="0.3">
      <c r="A10" s="56" t="s">
        <v>875</v>
      </c>
      <c r="B10" s="56">
        <v>0.1527</v>
      </c>
      <c r="C10" s="34"/>
    </row>
    <row r="11" spans="1:13" ht="16.5" x14ac:dyDescent="0.3">
      <c r="A11" s="56" t="s">
        <v>883</v>
      </c>
      <c r="B11" s="56">
        <v>0.73280000000000001</v>
      </c>
      <c r="C11" s="34"/>
    </row>
    <row r="12" spans="1:13" ht="16.5" x14ac:dyDescent="0.3">
      <c r="A12" s="56" t="s">
        <v>15</v>
      </c>
      <c r="B12" s="56">
        <v>9</v>
      </c>
      <c r="C12" s="34"/>
    </row>
    <row r="15" spans="1:13" ht="16.5" x14ac:dyDescent="0.3">
      <c r="A15" s="315" t="s">
        <v>945</v>
      </c>
      <c r="B15" s="219"/>
      <c r="C15" s="219"/>
      <c r="D15" s="219"/>
      <c r="E15" s="212"/>
      <c r="F15" s="212"/>
      <c r="G15" s="212"/>
      <c r="H15" s="212" t="s">
        <v>940</v>
      </c>
      <c r="I15" s="212"/>
      <c r="J15" s="212"/>
      <c r="K15" s="212"/>
      <c r="L15" s="212"/>
      <c r="M15" s="212"/>
    </row>
    <row r="16" spans="1:13" ht="16.5" x14ac:dyDescent="0.3">
      <c r="B16" s="342" t="s">
        <v>103</v>
      </c>
      <c r="C16" s="342" t="s">
        <v>68</v>
      </c>
      <c r="D16" s="343" t="s">
        <v>69</v>
      </c>
      <c r="E16" s="342" t="s">
        <v>70</v>
      </c>
      <c r="F16" s="342" t="s">
        <v>71</v>
      </c>
      <c r="G16" s="342" t="s">
        <v>72</v>
      </c>
      <c r="H16" s="342" t="s">
        <v>73</v>
      </c>
      <c r="I16" s="342" t="s">
        <v>74</v>
      </c>
      <c r="J16" s="342" t="s">
        <v>147</v>
      </c>
      <c r="K16" s="342" t="s">
        <v>76</v>
      </c>
      <c r="L16" s="355" t="s">
        <v>77</v>
      </c>
      <c r="M16" s="355" t="s">
        <v>78</v>
      </c>
    </row>
    <row r="17" spans="1:14" ht="33" x14ac:dyDescent="0.3">
      <c r="A17" s="344" t="s">
        <v>874</v>
      </c>
      <c r="B17" s="342" t="s">
        <v>80</v>
      </c>
      <c r="C17" s="342" t="s">
        <v>81</v>
      </c>
      <c r="D17" s="342" t="s">
        <v>82</v>
      </c>
      <c r="E17" s="342" t="s">
        <v>83</v>
      </c>
      <c r="F17" s="342" t="s">
        <v>84</v>
      </c>
      <c r="G17" s="342" t="s">
        <v>85</v>
      </c>
      <c r="H17" s="342" t="s">
        <v>86</v>
      </c>
      <c r="I17" s="342" t="s">
        <v>87</v>
      </c>
      <c r="J17" s="342" t="s">
        <v>782</v>
      </c>
      <c r="K17" s="342" t="s">
        <v>89</v>
      </c>
      <c r="L17" s="342" t="s">
        <v>90</v>
      </c>
      <c r="M17" s="342" t="s">
        <v>91</v>
      </c>
      <c r="N17" s="373" t="s">
        <v>156</v>
      </c>
    </row>
    <row r="18" spans="1:14" ht="16.5" x14ac:dyDescent="0.3">
      <c r="A18" s="140" t="s">
        <v>884</v>
      </c>
      <c r="B18" s="56">
        <v>0</v>
      </c>
      <c r="C18" s="55">
        <v>1.3343999039473904E-2</v>
      </c>
      <c r="D18" s="55">
        <v>0</v>
      </c>
      <c r="E18" s="55">
        <v>9.9505582284165686E-2</v>
      </c>
      <c r="F18" s="55">
        <v>0.67327803077987436</v>
      </c>
      <c r="G18" s="55">
        <v>0.14667381284743905</v>
      </c>
      <c r="H18" s="55">
        <v>6.2675594036130336E-2</v>
      </c>
      <c r="I18" s="55">
        <v>4.5229810129166223E-3</v>
      </c>
      <c r="J18" s="55">
        <v>0</v>
      </c>
      <c r="K18" s="55">
        <v>0</v>
      </c>
      <c r="L18" s="96">
        <v>0</v>
      </c>
      <c r="M18" s="96">
        <v>0</v>
      </c>
      <c r="N18" s="34"/>
    </row>
    <row r="19" spans="1:14" ht="16.5" x14ac:dyDescent="0.3">
      <c r="A19" s="162" t="s">
        <v>883</v>
      </c>
      <c r="B19" s="56">
        <v>0</v>
      </c>
      <c r="C19" s="55">
        <v>6.6193530776579787E-2</v>
      </c>
      <c r="D19" s="55">
        <v>0.19093762795141261</v>
      </c>
      <c r="E19" s="55">
        <v>0.38706155315954693</v>
      </c>
      <c r="F19" s="55">
        <v>0.27528319912651839</v>
      </c>
      <c r="G19" s="55">
        <v>6.6602975296847292E-2</v>
      </c>
      <c r="H19" s="55">
        <v>1.2965743141804287E-2</v>
      </c>
      <c r="I19" s="55">
        <v>9.5537054729084219E-4</v>
      </c>
      <c r="J19" s="55">
        <v>0</v>
      </c>
      <c r="K19" s="55">
        <v>0</v>
      </c>
      <c r="L19" s="96">
        <v>0</v>
      </c>
      <c r="M19" s="96">
        <v>0</v>
      </c>
      <c r="N19" s="34"/>
    </row>
    <row r="20" spans="1:14" ht="16.5" x14ac:dyDescent="0.3">
      <c r="A20" s="162" t="s">
        <v>15</v>
      </c>
      <c r="B20" s="56">
        <v>0</v>
      </c>
      <c r="C20" s="55">
        <v>7.1888888888888905E-2</v>
      </c>
      <c r="D20" s="55">
        <v>0.20200000000000004</v>
      </c>
      <c r="E20" s="55">
        <v>0.39661111111111119</v>
      </c>
      <c r="F20" s="55">
        <v>0.26042222222222228</v>
      </c>
      <c r="G20" s="55">
        <v>5.7777777777777789E-2</v>
      </c>
      <c r="H20" s="55">
        <v>1.0500000000000002E-2</v>
      </c>
      <c r="I20" s="55">
        <v>8.0000000000000015E-4</v>
      </c>
      <c r="J20" s="55">
        <v>0</v>
      </c>
      <c r="K20" s="55">
        <v>0</v>
      </c>
      <c r="L20" s="55">
        <v>0</v>
      </c>
      <c r="M20" s="55">
        <v>0</v>
      </c>
      <c r="N20" s="34"/>
    </row>
    <row r="23" spans="1:14" x14ac:dyDescent="0.25">
      <c r="A23" s="315" t="s">
        <v>960</v>
      </c>
      <c r="B23" s="219"/>
      <c r="C23" s="219"/>
      <c r="D23" s="219"/>
      <c r="E23" s="219"/>
      <c r="F23" s="219"/>
      <c r="G23" s="219"/>
      <c r="H23" s="219"/>
      <c r="I23" s="219"/>
      <c r="J23" s="219"/>
    </row>
    <row r="24" spans="1:14" ht="14.25" customHeight="1" x14ac:dyDescent="0.25"/>
    <row r="25" spans="1:14" ht="18" x14ac:dyDescent="0.3">
      <c r="K25" s="35"/>
      <c r="L25" s="243" t="s">
        <v>910</v>
      </c>
      <c r="M25" s="255"/>
    </row>
    <row r="26" spans="1:14" ht="62.25" x14ac:dyDescent="0.25">
      <c r="A26" s="308" t="s">
        <v>135</v>
      </c>
      <c r="B26" s="309" t="s">
        <v>870</v>
      </c>
      <c r="C26" s="309" t="s">
        <v>909</v>
      </c>
      <c r="D26" s="310" t="s">
        <v>872</v>
      </c>
      <c r="E26" s="310" t="s">
        <v>873</v>
      </c>
      <c r="F26" s="309" t="s">
        <v>871</v>
      </c>
      <c r="G26" s="309" t="s">
        <v>908</v>
      </c>
      <c r="H26" s="309" t="s">
        <v>911</v>
      </c>
      <c r="I26" s="309" t="s">
        <v>907</v>
      </c>
      <c r="K26" s="266" t="str">
        <f>$A$18</f>
        <v>Halimeda/ ACA</v>
      </c>
      <c r="L26" s="266" t="str">
        <f>$A$19</f>
        <v>Framework</v>
      </c>
      <c r="M26" s="266" t="str">
        <f>$A$20</f>
        <v>Rubble</v>
      </c>
    </row>
    <row r="27" spans="1:14" ht="16.5" x14ac:dyDescent="0.3">
      <c r="A27" s="301">
        <v>1</v>
      </c>
      <c r="B27" s="302">
        <f>((((Substrate!B38*Substrate!C38*Substrate!D38)/1000)*'Brittle star metrics'!$C$18)*'Brittle star metrics'!$F$18)</f>
        <v>0</v>
      </c>
      <c r="C27" s="307">
        <f>IFERROR((B27*$B$11)*(1/$B$6),0)</f>
        <v>0</v>
      </c>
      <c r="D27" s="302" cm="1">
        <f t="array" ref="D27">IFERROR(
    SUMPRODUCT(
        (TableH1[Total thallus volume (cm3)] &gt; 'Brittle star metrics'!$B$13) *
        TableH1[Total thallus volume (cm3)] * ('Brittle star metrics'!$C$13/('Brittle star metrics'!$C$13 +1)) *
        ('Brittle star metrics'!$F$13)
    ),
0)</f>
        <v>0</v>
      </c>
      <c r="E27" s="302" cm="1">
        <f t="array" ref="E27">IFERROR(
    SUMPRODUCT(
        (TableA1[Total thallus volume (cm3)] &gt;
            _xlfn.XLOOKUP(TableA1[Species / morphology code (select from above)], ACALookup[Species Code], ACALookup[Volume Threshold])
        ) *
        (_xlfn.XLOOKUP(TableA1[Species / morphology code (select from above)], ACALookup[Species Code], ACALookup[Formula Type]) = "Linear") *
        (
            _xlfn.XLOOKUP(TableA1[Species / morphology code (select from above)], ACALookup[Species Code], ACALookup[A]) +
            _xlfn.XLOOKUP(TableA1[Species / morphology code (select from above)], ACALookup[Species Code], ACALookup[B]) *
            TableA1[Total thallus volume (cm3)]
        )
    )
    +
    SUMPRODUCT(
        (TableA1[Total thallus volume (cm3)] &gt;
            _xlfn.XLOOKUP(TableA1[Species / morphology code (select from above)], ACALookup[Species Code], ACALookup[Volume Threshold])
        ) *
        (_xlfn.XLOOKUP(TableA1[Species / morphology code (select from above)], ACALookup[Species Code], ACALookup[Formula Type]) = "Constant") *
        _xlfn.XLOOKUP(TableA1[Species / morphology code (select from above)], ACALookup[Species Code], ACALookup[A])
    ),
0)</f>
        <v>0</v>
      </c>
      <c r="F27" s="302">
        <f>D27+E27</f>
        <v>0</v>
      </c>
      <c r="G27" s="302">
        <f>IFERROR((F27*$B$10)*(1/$B$6),0)</f>
        <v>0</v>
      </c>
      <c r="H27" s="299">
        <f>IF(Substrate!E38="YES", $B$12, 0)</f>
        <v>0</v>
      </c>
      <c r="I27" s="307">
        <f>C27+G27+H27</f>
        <v>0</v>
      </c>
      <c r="K27" s="311">
        <f>G27/1000</f>
        <v>0</v>
      </c>
      <c r="L27" s="311">
        <f>C27/1000</f>
        <v>0</v>
      </c>
      <c r="M27" s="311">
        <f>H27/1000</f>
        <v>0</v>
      </c>
    </row>
    <row r="28" spans="1:14" x14ac:dyDescent="0.25">
      <c r="C28" s="2"/>
    </row>
    <row r="29" spans="1:14" x14ac:dyDescent="0.25">
      <c r="C29" s="2"/>
    </row>
    <row r="30" spans="1:14" x14ac:dyDescent="0.25">
      <c r="C30" s="2"/>
    </row>
    <row r="31" spans="1:14" ht="18" x14ac:dyDescent="0.3">
      <c r="C31" s="2"/>
      <c r="K31" s="35"/>
      <c r="L31" s="243" t="s">
        <v>910</v>
      </c>
      <c r="M31" s="255"/>
    </row>
    <row r="32" spans="1:14" ht="62.25" x14ac:dyDescent="0.25">
      <c r="A32" s="310" t="s">
        <v>135</v>
      </c>
      <c r="B32" s="309" t="s">
        <v>870</v>
      </c>
      <c r="C32" s="556" t="s">
        <v>909</v>
      </c>
      <c r="D32" s="310" t="s">
        <v>872</v>
      </c>
      <c r="E32" s="310" t="s">
        <v>873</v>
      </c>
      <c r="F32" s="309" t="s">
        <v>871</v>
      </c>
      <c r="G32" s="309" t="s">
        <v>908</v>
      </c>
      <c r="H32" s="309" t="s">
        <v>911</v>
      </c>
      <c r="I32" s="309" t="s">
        <v>907</v>
      </c>
      <c r="K32" s="266" t="str">
        <f>$A$18</f>
        <v>Halimeda/ ACA</v>
      </c>
      <c r="L32" s="266" t="str">
        <f>$A$19</f>
        <v>Framework</v>
      </c>
      <c r="M32" s="266" t="str">
        <f>$A$20</f>
        <v>Rubble</v>
      </c>
    </row>
    <row r="33" spans="1:13" ht="16.5" x14ac:dyDescent="0.3">
      <c r="A33" s="301">
        <v>2</v>
      </c>
      <c r="B33" s="302">
        <f>((((Substrate!B39*Substrate!C39*Substrate!D39)/1000)*'Brittle star metrics'!$C$18)*'Brittle star metrics'!$F$18)</f>
        <v>0</v>
      </c>
      <c r="C33" s="307">
        <f>IFERROR((B33*$B$11)*(1/$B$6),0)</f>
        <v>0</v>
      </c>
      <c r="D33" s="302" cm="1">
        <f t="array" ref="D33">IFERROR(
    SUMPRODUCT(
        (TableH2[Total thallus volume (cm3)] &gt; 'Brittle star metrics'!$B$13) *
        TableH2[Total thallus volume (cm3)] * ('Brittle star metrics'!$C$13/('Brittle star metrics'!$C$13 +1)) *
        ('Brittle star metrics'!$F$13)
    ),
0)</f>
        <v>0</v>
      </c>
      <c r="E33" s="302" cm="1">
        <f t="array" ref="E33">IFERROR(
    SUMPRODUCT(
        (TableA2[Total thallus volume (cm3)] &gt;
            _xlfn.XLOOKUP(TableA2[Species / morphology code (select from above)], ACALookup[Species Code], ACALookup[Volume Threshold])
        ) *
        (_xlfn.XLOOKUP(TableA2[Species / morphology code (select from above)], ACALookup[Species Code], ACALookup[Formula Type]) = "Linear") *
        (
            _xlfn.XLOOKUP(TableA2[Species / morphology code (select from above)], ACALookup[Species Code], ACALookup[A]) +
            _xlfn.XLOOKUP(TableA2[Species / morphology code (select from above)], ACALookup[Species Code], ACALookup[B]) *
            TableA2[Total thallus volume (cm3)]
        )
    )
    +
    SUMPRODUCT(
        (TableA2[Total thallus volume (cm3)] &gt;
            _xlfn.XLOOKUP(TableA2[Species / morphology code (select from above)], ACALookup[Species Code], ACALookup[Volume Threshold])
        ) *
        (_xlfn.XLOOKUP(TableA2[Species / morphology code (select from above)], ACALookup[Species Code], ACALookup[Formula Type]) = "Constant") *
        _xlfn.XLOOKUP(TableA2[Species / morphology code (select from above)], ACALookup[Species Code], ACALookup[A])
    ),
0)</f>
        <v>0</v>
      </c>
      <c r="F33" s="302">
        <f>D33+E33</f>
        <v>0</v>
      </c>
      <c r="G33" s="302">
        <f>IFERROR((F33*$B$10)*(1/$B$6),0)</f>
        <v>0</v>
      </c>
      <c r="H33" s="299">
        <f>IF(Substrate!E39="YES", $B$12, 0)</f>
        <v>0</v>
      </c>
      <c r="I33" s="307">
        <f>C33+G33+H33</f>
        <v>0</v>
      </c>
      <c r="K33" s="311">
        <f>G33/1000</f>
        <v>0</v>
      </c>
      <c r="L33" s="311">
        <f>C33/1000</f>
        <v>0</v>
      </c>
      <c r="M33" s="311">
        <f>H33/1000</f>
        <v>0</v>
      </c>
    </row>
    <row r="34" spans="1:13" x14ac:dyDescent="0.25">
      <c r="C34" s="2"/>
    </row>
    <row r="35" spans="1:13" x14ac:dyDescent="0.25">
      <c r="C35" s="2"/>
    </row>
    <row r="36" spans="1:13" x14ac:dyDescent="0.25">
      <c r="C36" s="2"/>
    </row>
    <row r="37" spans="1:13" ht="18" x14ac:dyDescent="0.3">
      <c r="C37" s="2"/>
      <c r="K37" s="35"/>
      <c r="L37" s="243" t="s">
        <v>910</v>
      </c>
      <c r="M37" s="255"/>
    </row>
    <row r="38" spans="1:13" ht="62.25" x14ac:dyDescent="0.25">
      <c r="A38" s="310" t="s">
        <v>135</v>
      </c>
      <c r="B38" s="309" t="s">
        <v>870</v>
      </c>
      <c r="C38" s="556" t="s">
        <v>909</v>
      </c>
      <c r="D38" s="310" t="s">
        <v>872</v>
      </c>
      <c r="E38" s="310" t="s">
        <v>873</v>
      </c>
      <c r="F38" s="309" t="s">
        <v>871</v>
      </c>
      <c r="G38" s="309" t="s">
        <v>908</v>
      </c>
      <c r="H38" s="309" t="s">
        <v>911</v>
      </c>
      <c r="I38" s="309" t="s">
        <v>907</v>
      </c>
      <c r="K38" s="266" t="str">
        <f>$A$18</f>
        <v>Halimeda/ ACA</v>
      </c>
      <c r="L38" s="266" t="str">
        <f>$A$19</f>
        <v>Framework</v>
      </c>
      <c r="M38" s="266" t="str">
        <f>$A$20</f>
        <v>Rubble</v>
      </c>
    </row>
    <row r="39" spans="1:13" ht="16.5" x14ac:dyDescent="0.3">
      <c r="A39" s="301">
        <v>3</v>
      </c>
      <c r="B39" s="302">
        <f>((((Substrate!B40*Substrate!C40*Substrate!D40)/1000)*'Brittle star metrics'!$C$18)*'Brittle star metrics'!$F$18)</f>
        <v>0</v>
      </c>
      <c r="C39" s="307">
        <f>IFERROR((B39*$B$11)*(1/$B$6),0)</f>
        <v>0</v>
      </c>
      <c r="D39" s="302" cm="1">
        <f t="array" ref="D39">IFERROR(
    SUMPRODUCT(
        (TableH3[Total thallus volume (cm3)] &gt; 'Brittle star metrics'!$B$13) *
        TableH3[Total thallus volume (cm3)] * ('Brittle star metrics'!$C$13/('Brittle star metrics'!$C$13 +1)) *
        ('Brittle star metrics'!$F$13)
    ),
0)</f>
        <v>0</v>
      </c>
      <c r="E39" s="302" cm="1">
        <f t="array" ref="E39">IFERROR(
    SUMPRODUCT(
        (TableA3[Total thallus volume (cm3)] &gt;
            _xlfn.XLOOKUP(TableA3[Species / morphology code (select from above)], ACALookup[Species Code], ACALookup[Volume Threshold])
        ) *
        (_xlfn.XLOOKUP(TableA3[Species / morphology code (select from above)], ACALookup[Species Code], ACALookup[Formula Type]) = "Linear") *
        (
            _xlfn.XLOOKUP(TableA3[Species / morphology code (select from above)], ACALookup[Species Code], ACALookup[A]) +
            _xlfn.XLOOKUP(TableA3[Species / morphology code (select from above)], ACALookup[Species Code], ACALookup[B]) *
            TableA3[Total thallus volume (cm3)]
        )
    )
    +
    SUMPRODUCT(
        (TableA3[Total thallus volume (cm3)] &gt;
            _xlfn.XLOOKUP(TableA3[Species / morphology code (select from above)], ACALookup[Species Code], ACALookup[Volume Threshold])
        ) *
        (_xlfn.XLOOKUP(TableA3[Species / morphology code (select from above)], ACALookup[Species Code], ACALookup[Formula Type]) = "Constant") *
        _xlfn.XLOOKUP(TableA3[Species / morphology code (select from above)], ACALookup[Species Code], ACALookup[A])
    ),
0)</f>
        <v>0</v>
      </c>
      <c r="F39" s="302">
        <f>D39+E39</f>
        <v>0</v>
      </c>
      <c r="G39" s="302">
        <f>IFERROR((F39*$B$10)*(1/$B$6),0)</f>
        <v>0</v>
      </c>
      <c r="H39" s="299">
        <f>IF(Substrate!E40="YES", $B$12, 0)</f>
        <v>0</v>
      </c>
      <c r="I39" s="307">
        <f>C39+G39+H39</f>
        <v>0</v>
      </c>
      <c r="K39" s="311">
        <f>G39/1000</f>
        <v>0</v>
      </c>
      <c r="L39" s="311">
        <f>C39/1000</f>
        <v>0</v>
      </c>
      <c r="M39" s="311">
        <f>H39/1000</f>
        <v>0</v>
      </c>
    </row>
    <row r="40" spans="1:13" x14ac:dyDescent="0.25">
      <c r="C40" s="2"/>
    </row>
    <row r="41" spans="1:13" x14ac:dyDescent="0.25">
      <c r="C41" s="2"/>
    </row>
    <row r="42" spans="1:13" x14ac:dyDescent="0.25">
      <c r="C42" s="2"/>
    </row>
    <row r="43" spans="1:13" ht="18" x14ac:dyDescent="0.3">
      <c r="C43" s="2"/>
      <c r="K43" s="35"/>
      <c r="L43" s="243" t="s">
        <v>910</v>
      </c>
      <c r="M43" s="255"/>
    </row>
    <row r="44" spans="1:13" ht="62.25" x14ac:dyDescent="0.25">
      <c r="A44" s="310" t="s">
        <v>135</v>
      </c>
      <c r="B44" s="309" t="s">
        <v>870</v>
      </c>
      <c r="C44" s="556" t="s">
        <v>909</v>
      </c>
      <c r="D44" s="310" t="s">
        <v>872</v>
      </c>
      <c r="E44" s="310" t="s">
        <v>873</v>
      </c>
      <c r="F44" s="309" t="s">
        <v>871</v>
      </c>
      <c r="G44" s="309" t="s">
        <v>908</v>
      </c>
      <c r="H44" s="309" t="s">
        <v>911</v>
      </c>
      <c r="I44" s="309" t="s">
        <v>907</v>
      </c>
      <c r="K44" s="266" t="str">
        <f>$A$18</f>
        <v>Halimeda/ ACA</v>
      </c>
      <c r="L44" s="266" t="str">
        <f>$A$19</f>
        <v>Framework</v>
      </c>
      <c r="M44" s="266" t="str">
        <f>$A$20</f>
        <v>Rubble</v>
      </c>
    </row>
    <row r="45" spans="1:13" ht="16.5" x14ac:dyDescent="0.3">
      <c r="A45" s="301">
        <v>4</v>
      </c>
      <c r="B45" s="302">
        <f>((((Substrate!B41*Substrate!C41*Substrate!D41)/1000)*'Brittle star metrics'!$C$18)*'Brittle star metrics'!$F$18)</f>
        <v>0</v>
      </c>
      <c r="C45" s="307">
        <f>IFERROR((B45*$B$11)*(1/$B$6),0)</f>
        <v>0</v>
      </c>
      <c r="D45" s="302" cm="1">
        <f t="array" ref="D45">IFERROR(
    SUMPRODUCT(
        (TableH4[Total thallus volume (cm3)] &gt; 'Brittle star metrics'!$B$13) *
        TableH4[Total thallus volume (cm3)] * ('Brittle star metrics'!$C$13/('Brittle star metrics'!$C$13 +1)) *
        ('Brittle star metrics'!$F$13)
    ),
0)</f>
        <v>0</v>
      </c>
      <c r="E45" s="302" cm="1">
        <f t="array" ref="E45">IFERROR(
    SUMPRODUCT(
        (TableA4[Total thallus volume (cm3)] &gt;
            _xlfn.XLOOKUP(TableA4[Species / morphology code (select from above)], ACALookup[Species Code], ACALookup[Volume Threshold])
        ) *
        (_xlfn.XLOOKUP(TableA4[Species / morphology code (select from above)], ACALookup[Species Code], ACALookup[Formula Type]) = "Linear") *
        (
            _xlfn.XLOOKUP(TableA4[Species / morphology code (select from above)], ACALookup[Species Code], ACALookup[A]) +
            _xlfn.XLOOKUP(TableA4[Species / morphology code (select from above)], ACALookup[Species Code], ACALookup[B]) *
            TableA4[Total thallus volume (cm3)]
        )
    )
    +
    SUMPRODUCT(
        (TableA4[Total thallus volume (cm3)] &gt;
            _xlfn.XLOOKUP(TableA4[Species / morphology code (select from above)], ACALookup[Species Code], ACALookup[Volume Threshold])
        ) *
        (_xlfn.XLOOKUP(TableA4[Species / morphology code (select from above)], ACALookup[Species Code], ACALookup[Formula Type]) = "Constant") *
        _xlfn.XLOOKUP(TableA4[Species / morphology code (select from above)], ACALookup[Species Code], ACALookup[A])
    ),
0)</f>
        <v>0</v>
      </c>
      <c r="F45" s="302">
        <f>D45+E45</f>
        <v>0</v>
      </c>
      <c r="G45" s="302">
        <f>IFERROR((F45*$B$10)*(1/$B$6),0)</f>
        <v>0</v>
      </c>
      <c r="H45" s="299">
        <f>IF(Substrate!E41="YES", $B$12, 0)</f>
        <v>0</v>
      </c>
      <c r="I45" s="307">
        <f>C45+G45+H45</f>
        <v>0</v>
      </c>
      <c r="K45" s="311">
        <f>G45/1000</f>
        <v>0</v>
      </c>
      <c r="L45" s="311">
        <f>C45/1000</f>
        <v>0</v>
      </c>
      <c r="M45" s="311">
        <f>H45/1000</f>
        <v>0</v>
      </c>
    </row>
    <row r="46" spans="1:13" x14ac:dyDescent="0.25">
      <c r="C46" s="2"/>
    </row>
    <row r="47" spans="1:13" x14ac:dyDescent="0.25">
      <c r="C47" s="2"/>
    </row>
    <row r="48" spans="1:13" x14ac:dyDescent="0.25">
      <c r="C48" s="2"/>
    </row>
    <row r="49" spans="1:13" ht="18" x14ac:dyDescent="0.3">
      <c r="C49" s="2"/>
      <c r="K49" s="35"/>
      <c r="L49" s="243" t="s">
        <v>910</v>
      </c>
      <c r="M49" s="255"/>
    </row>
    <row r="50" spans="1:13" ht="62.25" x14ac:dyDescent="0.25">
      <c r="A50" s="310" t="s">
        <v>135</v>
      </c>
      <c r="B50" s="309" t="s">
        <v>870</v>
      </c>
      <c r="C50" s="556" t="s">
        <v>909</v>
      </c>
      <c r="D50" s="310" t="s">
        <v>872</v>
      </c>
      <c r="E50" s="310" t="s">
        <v>873</v>
      </c>
      <c r="F50" s="309" t="s">
        <v>871</v>
      </c>
      <c r="G50" s="309" t="s">
        <v>908</v>
      </c>
      <c r="H50" s="309" t="s">
        <v>911</v>
      </c>
      <c r="I50" s="309" t="s">
        <v>907</v>
      </c>
      <c r="K50" s="266" t="str">
        <f>$A$18</f>
        <v>Halimeda/ ACA</v>
      </c>
      <c r="L50" s="266" t="str">
        <f>$A$19</f>
        <v>Framework</v>
      </c>
      <c r="M50" s="266" t="str">
        <f>$A$20</f>
        <v>Rubble</v>
      </c>
    </row>
    <row r="51" spans="1:13" ht="16.5" x14ac:dyDescent="0.3">
      <c r="A51" s="301">
        <v>5</v>
      </c>
      <c r="B51" s="302">
        <f>((((Substrate!B42*Substrate!C42*Substrate!D42)/1000)*'Brittle star metrics'!$C$18)*'Brittle star metrics'!$F$18)</f>
        <v>0</v>
      </c>
      <c r="C51" s="307">
        <f>IFERROR((B51*$B$11)*(1/$B$6),0)</f>
        <v>0</v>
      </c>
      <c r="D51" s="302" cm="1">
        <f t="array" ref="D51">IFERROR(
    SUMPRODUCT(
        (TableH5[Total thallus volume (cm3)] &gt; 'Brittle star metrics'!$B$13) *
        TableH5[Total thallus volume (cm3)] * ('Brittle star metrics'!$C$13/('Brittle star metrics'!$C$13 +1)) *
        ('Brittle star metrics'!$F$13)
    ),
0)</f>
        <v>0</v>
      </c>
      <c r="E51" s="302" cm="1">
        <f t="array" ref="E51">IFERROR(
    SUMPRODUCT(
        (TableA5[Total thallus volume (cm3)] &gt;
            _xlfn.XLOOKUP(TableA5[Species / morphology code (select from above)], ACALookup[Species Code], ACALookup[Volume Threshold])
        ) *
        (_xlfn.XLOOKUP(TableA5[Species / morphology code (select from above)], ACALookup[Species Code], ACALookup[Formula Type]) = "Linear") *
        (
            _xlfn.XLOOKUP(TableA5[Species / morphology code (select from above)], ACALookup[Species Code], ACALookup[A]) +
            _xlfn.XLOOKUP(TableA5[Species / morphology code (select from above)], ACALookup[Species Code], ACALookup[B]) *
            TableA5[Total thallus volume (cm3)]
        )
    )
    +
    SUMPRODUCT(
        (TableA5[Total thallus volume (cm3)] &gt;
            _xlfn.XLOOKUP(TableA5[Species / morphology code (select from above)], ACALookup[Species Code], ACALookup[Volume Threshold])
        ) *
        (_xlfn.XLOOKUP(TableA5[Species / morphology code (select from above)], ACALookup[Species Code], ACALookup[Formula Type]) = "Constant") *
        _xlfn.XLOOKUP(TableA5[Species / morphology code (select from above)], ACALookup[Species Code], ACALookup[A])
    ),
0)</f>
        <v>0</v>
      </c>
      <c r="F51" s="302">
        <f>D51+E51</f>
        <v>0</v>
      </c>
      <c r="G51" s="302">
        <f>IFERROR((F51*$B$10)*(1/$B$6),0)</f>
        <v>0</v>
      </c>
      <c r="H51" s="299">
        <f>IF(Substrate!E42="YES", $B$12, 0)</f>
        <v>0</v>
      </c>
      <c r="I51" s="307">
        <f>C51+G51+H51</f>
        <v>0</v>
      </c>
      <c r="K51" s="311">
        <f>G51/1000</f>
        <v>0</v>
      </c>
      <c r="L51" s="311">
        <f>C51/1000</f>
        <v>0</v>
      </c>
      <c r="M51" s="311">
        <f>H51/1000</f>
        <v>0</v>
      </c>
    </row>
    <row r="52" spans="1:13" x14ac:dyDescent="0.25">
      <c r="C52" s="2"/>
    </row>
    <row r="53" spans="1:13" x14ac:dyDescent="0.25">
      <c r="C53" s="2"/>
    </row>
    <row r="54" spans="1:13" x14ac:dyDescent="0.25">
      <c r="C54" s="2"/>
    </row>
    <row r="55" spans="1:13" ht="18" x14ac:dyDescent="0.3">
      <c r="C55" s="2"/>
      <c r="K55" s="35"/>
      <c r="L55" s="243" t="s">
        <v>910</v>
      </c>
      <c r="M55" s="255"/>
    </row>
    <row r="56" spans="1:13" ht="62.25" x14ac:dyDescent="0.25">
      <c r="A56" s="310" t="s">
        <v>135</v>
      </c>
      <c r="B56" s="309" t="s">
        <v>870</v>
      </c>
      <c r="C56" s="556" t="s">
        <v>909</v>
      </c>
      <c r="D56" s="310" t="s">
        <v>872</v>
      </c>
      <c r="E56" s="310" t="s">
        <v>873</v>
      </c>
      <c r="F56" s="309" t="s">
        <v>871</v>
      </c>
      <c r="G56" s="309" t="s">
        <v>908</v>
      </c>
      <c r="H56" s="309" t="s">
        <v>911</v>
      </c>
      <c r="I56" s="309" t="s">
        <v>907</v>
      </c>
      <c r="K56" s="266" t="str">
        <f>$A$18</f>
        <v>Halimeda/ ACA</v>
      </c>
      <c r="L56" s="266" t="str">
        <f>$A$19</f>
        <v>Framework</v>
      </c>
      <c r="M56" s="266" t="str">
        <f>$A$20</f>
        <v>Rubble</v>
      </c>
    </row>
    <row r="57" spans="1:13" ht="16.5" x14ac:dyDescent="0.3">
      <c r="A57" s="301">
        <v>6</v>
      </c>
      <c r="B57" s="302">
        <f>((((Substrate!B43*Substrate!C43*Substrate!D43)/1000)*'Brittle star metrics'!$C$18)*'Brittle star metrics'!$F$18)</f>
        <v>0</v>
      </c>
      <c r="C57" s="307">
        <f>IFERROR((B57*$B$11)*(1/$B$6),0)</f>
        <v>0</v>
      </c>
      <c r="D57" s="302" cm="1">
        <f t="array" ref="D57">IFERROR(
    SUMPRODUCT(
        (TableH6[Total thallus volume (cm3)] &gt; 'Brittle star metrics'!$B$13) *
        TableH6[Total thallus volume (cm3)] * ('Brittle star metrics'!$C$13/('Brittle star metrics'!$C$13 +1)) *
        ('Brittle star metrics'!$F$13)
    ),
0)</f>
        <v>0</v>
      </c>
      <c r="E57" s="302" cm="1">
        <f t="array" ref="E57">IFERROR(
    SUMPRODUCT(
        (TableA6[Total thallus volume (cm3)] &gt;
            _xlfn.XLOOKUP(TableA6[Species / morphology code (select from above)], ACALookup[Species Code], ACALookup[Volume Threshold])
        ) *
        (_xlfn.XLOOKUP(TableA6[Species / morphology code (select from above)], ACALookup[Species Code], ACALookup[Formula Type]) = "Linear") *
        (
            _xlfn.XLOOKUP(TableA6[Species / morphology code (select from above)], ACALookup[Species Code], ACALookup[A]) +
            _xlfn.XLOOKUP(TableA6[Species / morphology code (select from above)], ACALookup[Species Code], ACALookup[B]) *
            TableA6[Total thallus volume (cm3)]
        )
    )
    +
    SUMPRODUCT(
        (TableA6[Total thallus volume (cm3)] &gt;
            _xlfn.XLOOKUP(TableA6[Species / morphology code (select from above)], ACALookup[Species Code], ACALookup[Volume Threshold])
        ) *
        (_xlfn.XLOOKUP(TableA6[Species / morphology code (select from above)], ACALookup[Species Code], ACALookup[Formula Type]) = "Constant") *
        _xlfn.XLOOKUP(TableA6[Species / morphology code (select from above)], ACALookup[Species Code], ACALookup[A])
    ),
0)</f>
        <v>0</v>
      </c>
      <c r="F57" s="302">
        <f>D57+E57</f>
        <v>0</v>
      </c>
      <c r="G57" s="302">
        <f>IFERROR((F57*$B$10)*(1/$B$6),0)</f>
        <v>0</v>
      </c>
      <c r="H57" s="299">
        <f>IF(Substrate!E43="YES", $B$12, 0)</f>
        <v>0</v>
      </c>
      <c r="I57" s="307">
        <f>C57+G57+H57</f>
        <v>0</v>
      </c>
      <c r="K57" s="311">
        <f>G57/1000</f>
        <v>0</v>
      </c>
      <c r="L57" s="311">
        <f>C57/1000</f>
        <v>0</v>
      </c>
      <c r="M57" s="311">
        <f>H57/1000</f>
        <v>0</v>
      </c>
    </row>
    <row r="58" spans="1:13" x14ac:dyDescent="0.25">
      <c r="C58" s="2"/>
    </row>
    <row r="59" spans="1:13" x14ac:dyDescent="0.25">
      <c r="C59" s="2"/>
    </row>
    <row r="60" spans="1:13" x14ac:dyDescent="0.25">
      <c r="C60" s="2"/>
    </row>
    <row r="61" spans="1:13" ht="18" x14ac:dyDescent="0.3">
      <c r="C61" s="2"/>
      <c r="K61" s="35"/>
      <c r="L61" s="243" t="s">
        <v>910</v>
      </c>
      <c r="M61" s="255"/>
    </row>
    <row r="62" spans="1:13" ht="62.25" x14ac:dyDescent="0.25">
      <c r="A62" s="310" t="s">
        <v>135</v>
      </c>
      <c r="B62" s="309" t="s">
        <v>870</v>
      </c>
      <c r="C62" s="556" t="s">
        <v>909</v>
      </c>
      <c r="D62" s="310" t="s">
        <v>872</v>
      </c>
      <c r="E62" s="310" t="s">
        <v>873</v>
      </c>
      <c r="F62" s="309" t="s">
        <v>871</v>
      </c>
      <c r="G62" s="309" t="s">
        <v>908</v>
      </c>
      <c r="H62" s="309" t="s">
        <v>911</v>
      </c>
      <c r="I62" s="309" t="s">
        <v>907</v>
      </c>
      <c r="K62" s="266" t="str">
        <f>$A$18</f>
        <v>Halimeda/ ACA</v>
      </c>
      <c r="L62" s="266" t="str">
        <f>$A$19</f>
        <v>Framework</v>
      </c>
      <c r="M62" s="266" t="str">
        <f>$A$20</f>
        <v>Rubble</v>
      </c>
    </row>
    <row r="63" spans="1:13" ht="16.5" x14ac:dyDescent="0.3">
      <c r="A63" s="301">
        <v>7</v>
      </c>
      <c r="B63" s="302">
        <f>((((Substrate!B44*Substrate!C44*Substrate!D44)/1000)*'Brittle star metrics'!$C$18)*'Brittle star metrics'!$F$18)</f>
        <v>0</v>
      </c>
      <c r="C63" s="307">
        <f>IFERROR((B63*$B$11)*(1/$B$6),0)</f>
        <v>0</v>
      </c>
      <c r="D63" s="302" cm="1">
        <f t="array" ref="D63">IFERROR(
    SUMPRODUCT(
        (TableH7[Total thallus volume (cm3)] &gt; 'Brittle star metrics'!$B$13) *
        TableH7[Total thallus volume (cm3)] * ('Brittle star metrics'!$C$13/('Brittle star metrics'!$C$13 +1)) *
        ('Brittle star metrics'!$F$13)
    ),
0)</f>
        <v>0</v>
      </c>
      <c r="E63" s="302" cm="1">
        <f t="array" ref="E63">IFERROR(
    SUMPRODUCT(
        (TableA7[Total thallus volume (cm3)] &gt;
            _xlfn.XLOOKUP(TableA7[Species / morphology code (select from above)], ACALookup[Species Code], ACALookup[Volume Threshold])
        ) *
        (_xlfn.XLOOKUP(TableA7[Species / morphology code (select from above)], ACALookup[Species Code], ACALookup[Formula Type]) = "Linear") *
        (
            _xlfn.XLOOKUP(TableA7[Species / morphology code (select from above)], ACALookup[Species Code], ACALookup[A]) +
            _xlfn.XLOOKUP(TableA7[Species / morphology code (select from above)], ACALookup[Species Code], ACALookup[B]) *
            TableA7[Total thallus volume (cm3)]
        )
    )
    +
    SUMPRODUCT(
        (TableA7[Total thallus volume (cm3)] &gt;
            _xlfn.XLOOKUP(TableA7[Species / morphology code (select from above)], ACALookup[Species Code], ACALookup[Volume Threshold])
        ) *
        (_xlfn.XLOOKUP(TableA7[Species / morphology code (select from above)], ACALookup[Species Code], ACALookup[Formula Type]) = "Constant") *
        _xlfn.XLOOKUP(TableA7[Species / morphology code (select from above)], ACALookup[Species Code], ACALookup[A])
    ),
0)</f>
        <v>0</v>
      </c>
      <c r="F63" s="302">
        <f>D63+E63</f>
        <v>0</v>
      </c>
      <c r="G63" s="302">
        <f>IFERROR((F63*$B$10)*(1/$B$6),0)</f>
        <v>0</v>
      </c>
      <c r="H63" s="299">
        <f>IF(Substrate!E44="YES", $B$12, 0)</f>
        <v>0</v>
      </c>
      <c r="I63" s="307">
        <f>C63+G63+H63</f>
        <v>0</v>
      </c>
      <c r="K63" s="311">
        <f>G63/1000</f>
        <v>0</v>
      </c>
      <c r="L63" s="311">
        <f>C63/1000</f>
        <v>0</v>
      </c>
      <c r="M63" s="311">
        <f>H63/1000</f>
        <v>0</v>
      </c>
    </row>
    <row r="64" spans="1:13" x14ac:dyDescent="0.25">
      <c r="C64" s="2"/>
    </row>
    <row r="65" spans="1:13" x14ac:dyDescent="0.25">
      <c r="C65" s="2"/>
    </row>
    <row r="66" spans="1:13" x14ac:dyDescent="0.25">
      <c r="C66" s="2"/>
    </row>
    <row r="67" spans="1:13" ht="18" x14ac:dyDescent="0.3">
      <c r="C67" s="2"/>
      <c r="K67" s="35"/>
      <c r="L67" s="243" t="s">
        <v>910</v>
      </c>
      <c r="M67" s="255"/>
    </row>
    <row r="68" spans="1:13" ht="62.25" x14ac:dyDescent="0.25">
      <c r="A68" s="310" t="s">
        <v>135</v>
      </c>
      <c r="B68" s="309" t="s">
        <v>870</v>
      </c>
      <c r="C68" s="556" t="s">
        <v>909</v>
      </c>
      <c r="D68" s="310" t="s">
        <v>872</v>
      </c>
      <c r="E68" s="310" t="s">
        <v>873</v>
      </c>
      <c r="F68" s="309" t="s">
        <v>871</v>
      </c>
      <c r="G68" s="309" t="s">
        <v>908</v>
      </c>
      <c r="H68" s="309" t="s">
        <v>911</v>
      </c>
      <c r="I68" s="309" t="s">
        <v>907</v>
      </c>
      <c r="K68" s="266" t="str">
        <f>$A$18</f>
        <v>Halimeda/ ACA</v>
      </c>
      <c r="L68" s="266" t="str">
        <f>$A$19</f>
        <v>Framework</v>
      </c>
      <c r="M68" s="266" t="str">
        <f>$A$20</f>
        <v>Rubble</v>
      </c>
    </row>
    <row r="69" spans="1:13" ht="16.5" x14ac:dyDescent="0.3">
      <c r="A69" s="301">
        <v>8</v>
      </c>
      <c r="B69" s="302">
        <f>((((Substrate!B45*Substrate!C45*Substrate!D45)/1000)*'Brittle star metrics'!$C$18)*'Brittle star metrics'!$F$18)</f>
        <v>0</v>
      </c>
      <c r="C69" s="307">
        <f>IFERROR((B69*$B$11)*(1/$B$6),0)</f>
        <v>0</v>
      </c>
      <c r="D69" s="302" cm="1">
        <f t="array" ref="D69">IFERROR(
    SUMPRODUCT(
        (TableH8[Total thallus volume (cm3)] &gt; 'Brittle star metrics'!$B$13) *
        TableH8[Total thallus volume (cm3)] * ('Brittle star metrics'!$C$13/('Brittle star metrics'!$C$13 +1)) *
        ('Brittle star metrics'!$F$13)
    ),
0)</f>
        <v>0</v>
      </c>
      <c r="E69" s="302" cm="1">
        <f t="array" ref="E69">IFERROR(
    SUMPRODUCT(
        (TableA8[Total thallus volume (cm3)] &gt;
            _xlfn.XLOOKUP(TableA8[Species / morphology code (select from above)], ACALookup[Species Code], ACALookup[Volume Threshold])
        ) *
        (_xlfn.XLOOKUP(TableA8[Species / morphology code (select from above)], ACALookup[Species Code], ACALookup[Formula Type]) = "Linear") *
        (
            _xlfn.XLOOKUP(TableA8[Species / morphology code (select from above)], ACALookup[Species Code], ACALookup[A]) +
            _xlfn.XLOOKUP(TableA8[Species / morphology code (select from above)], ACALookup[Species Code], ACALookup[B]) *
            TableA8[Total thallus volume (cm3)]
        )
    )
    +
    SUMPRODUCT(
        (TableA8[Total thallus volume (cm3)] &gt;
            _xlfn.XLOOKUP(TableA8[Species / morphology code (select from above)], ACALookup[Species Code], ACALookup[Volume Threshold])
        ) *
        (_xlfn.XLOOKUP(TableA8[Species / morphology code (select from above)], ACALookup[Species Code], ACALookup[Formula Type]) = "Constant") *
        _xlfn.XLOOKUP(TableA8[Species / morphology code (select from above)], ACALookup[Species Code], ACALookup[A])
    ),
0)</f>
        <v>0</v>
      </c>
      <c r="F69" s="302">
        <f>D69+E69</f>
        <v>0</v>
      </c>
      <c r="G69" s="302">
        <f>IFERROR((F69*$B$10)*(1/$B$6),0)</f>
        <v>0</v>
      </c>
      <c r="H69" s="299">
        <f>IF(Substrate!E45="YES", $B$12, 0)</f>
        <v>0</v>
      </c>
      <c r="I69" s="307">
        <f>C69+G69+H69</f>
        <v>0</v>
      </c>
      <c r="K69" s="311">
        <f>G69/1000</f>
        <v>0</v>
      </c>
      <c r="L69" s="311">
        <f>C69/1000</f>
        <v>0</v>
      </c>
      <c r="M69" s="311">
        <f>H69/1000</f>
        <v>0</v>
      </c>
    </row>
    <row r="70" spans="1:13" x14ac:dyDescent="0.25">
      <c r="C70" s="2"/>
    </row>
    <row r="71" spans="1:13" x14ac:dyDescent="0.25">
      <c r="C71" s="2"/>
    </row>
    <row r="72" spans="1:13" x14ac:dyDescent="0.25">
      <c r="C72" s="2"/>
    </row>
    <row r="73" spans="1:13" ht="18" x14ac:dyDescent="0.3">
      <c r="C73" s="2"/>
      <c r="K73" s="35"/>
      <c r="L73" s="243" t="s">
        <v>910</v>
      </c>
      <c r="M73" s="255"/>
    </row>
    <row r="74" spans="1:13" ht="62.25" x14ac:dyDescent="0.25">
      <c r="A74" s="310" t="s">
        <v>135</v>
      </c>
      <c r="B74" s="309" t="s">
        <v>870</v>
      </c>
      <c r="C74" s="556" t="s">
        <v>909</v>
      </c>
      <c r="D74" s="310" t="s">
        <v>872</v>
      </c>
      <c r="E74" s="310" t="s">
        <v>873</v>
      </c>
      <c r="F74" s="309" t="s">
        <v>871</v>
      </c>
      <c r="G74" s="309" t="s">
        <v>908</v>
      </c>
      <c r="H74" s="309" t="s">
        <v>911</v>
      </c>
      <c r="I74" s="309" t="s">
        <v>907</v>
      </c>
      <c r="K74" s="266" t="str">
        <f>$A$18</f>
        <v>Halimeda/ ACA</v>
      </c>
      <c r="L74" s="266" t="str">
        <f>$A$19</f>
        <v>Framework</v>
      </c>
      <c r="M74" s="266" t="str">
        <f>$A$20</f>
        <v>Rubble</v>
      </c>
    </row>
    <row r="75" spans="1:13" ht="16.5" x14ac:dyDescent="0.3">
      <c r="A75" s="301">
        <v>9</v>
      </c>
      <c r="B75" s="302">
        <f>((((Substrate!B46*Substrate!C46*Substrate!D46)/1000)*'Brittle star metrics'!$C$18)*'Brittle star metrics'!$F$18)</f>
        <v>0</v>
      </c>
      <c r="C75" s="307">
        <f>IFERROR((B75*$B$11)*(1/$B$6),0)</f>
        <v>0</v>
      </c>
      <c r="D75" s="302" cm="1">
        <f t="array" ref="D75">IFERROR(
    SUMPRODUCT(
        (TableH9[Total thallus volume (cm3)] &gt; 'Brittle star metrics'!$B$13) *
        TableH9[Total thallus volume (cm3)] * ('Brittle star metrics'!$C$13/('Brittle star metrics'!$C$13 +1)) *
        ('Brittle star metrics'!$F$13)
    ),
0)</f>
        <v>0</v>
      </c>
      <c r="E75" s="302" cm="1">
        <f t="array" ref="E75">IFERROR(
    SUMPRODUCT(
        (TableA9[Total thallus volume (cm3)] &gt;
            _xlfn.XLOOKUP(TableA9[Species / morphology code (select from above)], ACALookup[Species Code], ACALookup[Volume Threshold])
        ) *
        (_xlfn.XLOOKUP(TableA9[Species / morphology code (select from above)], ACALookup[Species Code], ACALookup[Formula Type]) = "Linear") *
        (
            _xlfn.XLOOKUP(TableA9[Species / morphology code (select from above)], ACALookup[Species Code], ACALookup[A]) +
            _xlfn.XLOOKUP(TableA9[Species / morphology code (select from above)], ACALookup[Species Code], ACALookup[B]) *
            TableA9[Total thallus volume (cm3)]
        )
    )
    +
    SUMPRODUCT(
        (TableA9[Total thallus volume (cm3)] &gt;
            _xlfn.XLOOKUP(TableA9[Species / morphology code (select from above)], ACALookup[Species Code], ACALookup[Volume Threshold])
        ) *
        (_xlfn.XLOOKUP(TableA9[Species / morphology code (select from above)], ACALookup[Species Code], ACALookup[Formula Type]) = "Constant") *
        _xlfn.XLOOKUP(TableA9[Species / morphology code (select from above)], ACALookup[Species Code], ACALookup[A])
    ),
0)</f>
        <v>0</v>
      </c>
      <c r="F75" s="302">
        <f>D75+E75</f>
        <v>0</v>
      </c>
      <c r="G75" s="302">
        <f>IFERROR((F75*$B$10)*(1/$B$6),0)</f>
        <v>0</v>
      </c>
      <c r="H75" s="299">
        <f>IF(Substrate!E46="YES", $B$12, 0)</f>
        <v>0</v>
      </c>
      <c r="I75" s="307">
        <f>C75+G75+H75</f>
        <v>0</v>
      </c>
      <c r="K75" s="311">
        <f>G75/1000</f>
        <v>0</v>
      </c>
      <c r="L75" s="311">
        <f>C75/1000</f>
        <v>0</v>
      </c>
      <c r="M75" s="311">
        <f>H75/1000</f>
        <v>0</v>
      </c>
    </row>
    <row r="76" spans="1:13" x14ac:dyDescent="0.25">
      <c r="C76" s="2"/>
    </row>
    <row r="77" spans="1:13" x14ac:dyDescent="0.25">
      <c r="C77" s="2"/>
    </row>
    <row r="78" spans="1:13" x14ac:dyDescent="0.25">
      <c r="C78" s="2"/>
    </row>
    <row r="79" spans="1:13" ht="18" x14ac:dyDescent="0.3">
      <c r="C79" s="2"/>
      <c r="K79" s="35"/>
      <c r="L79" s="243" t="s">
        <v>910</v>
      </c>
      <c r="M79" s="255"/>
    </row>
    <row r="80" spans="1:13" ht="62.25" x14ac:dyDescent="0.25">
      <c r="A80" s="310" t="s">
        <v>135</v>
      </c>
      <c r="B80" s="309" t="s">
        <v>870</v>
      </c>
      <c r="C80" s="556" t="s">
        <v>909</v>
      </c>
      <c r="D80" s="310" t="s">
        <v>872</v>
      </c>
      <c r="E80" s="310" t="s">
        <v>873</v>
      </c>
      <c r="F80" s="309" t="s">
        <v>871</v>
      </c>
      <c r="G80" s="309" t="s">
        <v>908</v>
      </c>
      <c r="H80" s="309" t="s">
        <v>911</v>
      </c>
      <c r="I80" s="309" t="s">
        <v>907</v>
      </c>
      <c r="K80" s="266" t="str">
        <f>$A$18</f>
        <v>Halimeda/ ACA</v>
      </c>
      <c r="L80" s="266" t="str">
        <f>$A$19</f>
        <v>Framework</v>
      </c>
      <c r="M80" s="266" t="str">
        <f>$A$20</f>
        <v>Rubble</v>
      </c>
    </row>
    <row r="81" spans="1:13" ht="16.5" x14ac:dyDescent="0.3">
      <c r="A81" s="301">
        <v>10</v>
      </c>
      <c r="B81" s="302">
        <f>((((Substrate!B47*Substrate!C47*Substrate!D47)/1000)*'Brittle star metrics'!$C$18)*'Brittle star metrics'!$F$18)</f>
        <v>0</v>
      </c>
      <c r="C81" s="307">
        <f>IFERROR((B81*$B$11)*(1/$B$6),0)</f>
        <v>0</v>
      </c>
      <c r="D81" s="302" cm="1">
        <f t="array" ref="D81">IFERROR(
    SUMPRODUCT(
        (TableH10[Total thallus volume (cm3)] &gt; 'Brittle star metrics'!$B$13) *
        TableH10[Total thallus volume (cm3)] * ('Brittle star metrics'!$C$13/('Brittle star metrics'!$C$13 +1)) *
        ('Brittle star metrics'!$F$13)
    ),
0)</f>
        <v>0</v>
      </c>
      <c r="E81" s="302" cm="1">
        <f t="array" ref="E81">IFERROR(
    SUMPRODUCT(
        (TableA10[Total thallus volume (cm3)] &gt;
            _xlfn.XLOOKUP(TableA10[Species / morphology code (select from above)], ACALookup[Species Code], ACALookup[Volume Threshold])
        ) *
        (_xlfn.XLOOKUP(TableA10[Species / morphology code (select from above)], ACALookup[Species Code], ACALookup[Formula Type]) = "Linear") *
        (
            _xlfn.XLOOKUP(TableA10[Species / morphology code (select from above)], ACALookup[Species Code], ACALookup[A]) +
            _xlfn.XLOOKUP(TableA10[Species / morphology code (select from above)], ACALookup[Species Code], ACALookup[B]) *
            TableA10[Total thallus volume (cm3)]
        )
    )
    +
    SUMPRODUCT(
        (TableA10[Total thallus volume (cm3)] &gt;
            _xlfn.XLOOKUP(TableA10[Species / morphology code (select from above)], ACALookup[Species Code], ACALookup[Volume Threshold])
        ) *
        (_xlfn.XLOOKUP(TableA10[Species / morphology code (select from above)], ACALookup[Species Code], ACALookup[Formula Type]) = "Constant") *
        _xlfn.XLOOKUP(TableA10[Species / morphology code (select from above)], ACALookup[Species Code], ACALookup[A])
    ),
0)</f>
        <v>0</v>
      </c>
      <c r="F81" s="302">
        <f>D81+E81</f>
        <v>0</v>
      </c>
      <c r="G81" s="302">
        <f>IFERROR((F81*$B$10)*(1/$B$6),0)</f>
        <v>0</v>
      </c>
      <c r="H81" s="299">
        <f>IF(Substrate!E47="YES", $B$12, 0)</f>
        <v>0</v>
      </c>
      <c r="I81" s="307">
        <f>C81+G81+H81</f>
        <v>0</v>
      </c>
      <c r="K81" s="311">
        <f>G81/1000</f>
        <v>0</v>
      </c>
      <c r="L81" s="311">
        <f>C81/1000</f>
        <v>0</v>
      </c>
      <c r="M81" s="311">
        <f>H81/1000</f>
        <v>0</v>
      </c>
    </row>
    <row r="83" spans="1:13" ht="16.5" x14ac:dyDescent="0.3">
      <c r="B83" s="3"/>
      <c r="C83" s="3"/>
    </row>
    <row r="84" spans="1:13" ht="15" customHeight="1" x14ac:dyDescent="0.3">
      <c r="A84" s="565" t="s">
        <v>962</v>
      </c>
      <c r="B84" s="565"/>
    </row>
    <row r="85" spans="1:13" ht="15" customHeight="1" x14ac:dyDescent="0.3">
      <c r="A85" s="341" t="s">
        <v>874</v>
      </c>
      <c r="B85" s="340" t="s">
        <v>555</v>
      </c>
    </row>
    <row r="86" spans="1:13" ht="16.5" x14ac:dyDescent="0.3">
      <c r="A86" s="39" t="str">
        <f xml:space="preserve"> IF($A$10 = "", "",$A10)</f>
        <v>Halimeda/ ACA</v>
      </c>
      <c r="B86" s="234" t="e">
        <f>(K27+K33+K39+K45+K51+K57+K63+K69+K75+K81)/$B$5</f>
        <v>#DIV/0!</v>
      </c>
    </row>
    <row r="87" spans="1:13" ht="16.5" x14ac:dyDescent="0.3">
      <c r="A87" s="39" t="str">
        <f xml:space="preserve"> IF($A$11 = "", "",$A11)</f>
        <v>Framework</v>
      </c>
      <c r="B87" s="234" t="e">
        <f>(L27+L33+L39+L45+L51+L57+L63+L69+L75+L81)/$B$5</f>
        <v>#DIV/0!</v>
      </c>
    </row>
    <row r="88" spans="1:13" ht="16.5" x14ac:dyDescent="0.3">
      <c r="A88" s="39" t="str">
        <f xml:space="preserve"> IF($A$12 = "", "",$A12)</f>
        <v>Rubble</v>
      </c>
      <c r="B88" s="234" t="e">
        <f>(M27+M33+M39+M45+M51+M57+M63+M69+M75+M81)/$B$5</f>
        <v>#DIV/0!</v>
      </c>
    </row>
    <row r="90" spans="1:13" ht="17.25" x14ac:dyDescent="0.25">
      <c r="A90" s="315" t="s">
        <v>963</v>
      </c>
      <c r="B90" s="219"/>
      <c r="C90" s="219"/>
      <c r="D90" s="219"/>
      <c r="E90" s="219"/>
    </row>
    <row r="92" spans="1:13" ht="16.5" x14ac:dyDescent="0.3">
      <c r="B92" s="342" t="s">
        <v>103</v>
      </c>
      <c r="C92" s="342" t="s">
        <v>68</v>
      </c>
      <c r="D92" s="343" t="s">
        <v>69</v>
      </c>
      <c r="E92" s="342" t="s">
        <v>70</v>
      </c>
      <c r="F92" s="342" t="s">
        <v>71</v>
      </c>
      <c r="G92" s="342" t="s">
        <v>72</v>
      </c>
      <c r="H92" s="342" t="s">
        <v>73</v>
      </c>
      <c r="I92" s="342" t="s">
        <v>74</v>
      </c>
      <c r="J92" s="342" t="s">
        <v>75</v>
      </c>
      <c r="K92" s="342" t="s">
        <v>76</v>
      </c>
      <c r="L92" s="342" t="s">
        <v>77</v>
      </c>
      <c r="M92" s="342" t="s">
        <v>78</v>
      </c>
    </row>
    <row r="93" spans="1:13" ht="16.5" x14ac:dyDescent="0.3">
      <c r="A93" s="341" t="s">
        <v>874</v>
      </c>
      <c r="B93" s="348" t="s">
        <v>80</v>
      </c>
      <c r="C93" s="348" t="s">
        <v>81</v>
      </c>
      <c r="D93" s="348" t="s">
        <v>133</v>
      </c>
      <c r="E93" s="348" t="s">
        <v>134</v>
      </c>
      <c r="F93" s="348" t="s">
        <v>84</v>
      </c>
      <c r="G93" s="348" t="s">
        <v>85</v>
      </c>
      <c r="H93" s="348" t="s">
        <v>86</v>
      </c>
      <c r="I93" s="348" t="s">
        <v>87</v>
      </c>
      <c r="J93" s="348" t="s">
        <v>88</v>
      </c>
      <c r="K93" s="348" t="s">
        <v>89</v>
      </c>
      <c r="L93" s="348" t="s">
        <v>90</v>
      </c>
      <c r="M93" s="348" t="s">
        <v>91</v>
      </c>
    </row>
    <row r="94" spans="1:13" ht="16.5" x14ac:dyDescent="0.3">
      <c r="A94" s="39" t="str">
        <f xml:space="preserve"> IF($A$10 = "", "",$A$10)</f>
        <v>Halimeda/ ACA</v>
      </c>
      <c r="B94" s="19" t="e">
        <f t="shared" ref="B94:M94" si="0">$B$86*B18</f>
        <v>#DIV/0!</v>
      </c>
      <c r="C94" s="19" t="e">
        <f t="shared" si="0"/>
        <v>#DIV/0!</v>
      </c>
      <c r="D94" s="19" t="e">
        <f t="shared" si="0"/>
        <v>#DIV/0!</v>
      </c>
      <c r="E94" s="19" t="e">
        <f t="shared" si="0"/>
        <v>#DIV/0!</v>
      </c>
      <c r="F94" s="19" t="e">
        <f t="shared" si="0"/>
        <v>#DIV/0!</v>
      </c>
      <c r="G94" s="19" t="e">
        <f t="shared" si="0"/>
        <v>#DIV/0!</v>
      </c>
      <c r="H94" s="19" t="e">
        <f t="shared" si="0"/>
        <v>#DIV/0!</v>
      </c>
      <c r="I94" s="19" t="e">
        <f t="shared" si="0"/>
        <v>#DIV/0!</v>
      </c>
      <c r="J94" s="19" t="e">
        <f t="shared" si="0"/>
        <v>#DIV/0!</v>
      </c>
      <c r="K94" s="19" t="e">
        <f t="shared" si="0"/>
        <v>#DIV/0!</v>
      </c>
      <c r="L94" s="19" t="e">
        <f t="shared" si="0"/>
        <v>#DIV/0!</v>
      </c>
      <c r="M94" s="19" t="e">
        <f t="shared" si="0"/>
        <v>#DIV/0!</v>
      </c>
    </row>
    <row r="95" spans="1:13" ht="16.5" x14ac:dyDescent="0.3">
      <c r="A95" s="39" t="str">
        <f xml:space="preserve"> IF($A$11 = "", "",$A$11)</f>
        <v>Framework</v>
      </c>
      <c r="B95" s="19" t="e">
        <f>$B$87*B19</f>
        <v>#DIV/0!</v>
      </c>
      <c r="C95" s="19" t="e">
        <f t="shared" ref="C95:M95" si="1">$B$87*C19</f>
        <v>#DIV/0!</v>
      </c>
      <c r="D95" s="19" t="e">
        <f t="shared" si="1"/>
        <v>#DIV/0!</v>
      </c>
      <c r="E95" s="19" t="e">
        <f t="shared" si="1"/>
        <v>#DIV/0!</v>
      </c>
      <c r="F95" s="19" t="e">
        <f t="shared" si="1"/>
        <v>#DIV/0!</v>
      </c>
      <c r="G95" s="19" t="e">
        <f t="shared" si="1"/>
        <v>#DIV/0!</v>
      </c>
      <c r="H95" s="19" t="e">
        <f t="shared" si="1"/>
        <v>#DIV/0!</v>
      </c>
      <c r="I95" s="19" t="e">
        <f t="shared" si="1"/>
        <v>#DIV/0!</v>
      </c>
      <c r="J95" s="19" t="e">
        <f t="shared" si="1"/>
        <v>#DIV/0!</v>
      </c>
      <c r="K95" s="19" t="e">
        <f t="shared" si="1"/>
        <v>#DIV/0!</v>
      </c>
      <c r="L95" s="19" t="e">
        <f t="shared" si="1"/>
        <v>#DIV/0!</v>
      </c>
      <c r="M95" s="19" t="e">
        <f t="shared" si="1"/>
        <v>#DIV/0!</v>
      </c>
    </row>
    <row r="96" spans="1:13" ht="16.5" x14ac:dyDescent="0.3">
      <c r="A96" s="39" t="str">
        <f xml:space="preserve"> IF($A$12 = "", "",$A$12)</f>
        <v>Rubble</v>
      </c>
      <c r="B96" s="19" t="e">
        <f>$B$88*B20</f>
        <v>#DIV/0!</v>
      </c>
      <c r="C96" s="19" t="e">
        <f t="shared" ref="C96:M96" si="2">$B$88*C20</f>
        <v>#DIV/0!</v>
      </c>
      <c r="D96" s="19" t="e">
        <f t="shared" si="2"/>
        <v>#DIV/0!</v>
      </c>
      <c r="E96" s="19" t="e">
        <f t="shared" si="2"/>
        <v>#DIV/0!</v>
      </c>
      <c r="F96" s="19" t="e">
        <f t="shared" si="2"/>
        <v>#DIV/0!</v>
      </c>
      <c r="G96" s="19" t="e">
        <f t="shared" si="2"/>
        <v>#DIV/0!</v>
      </c>
      <c r="H96" s="19" t="e">
        <f t="shared" si="2"/>
        <v>#DIV/0!</v>
      </c>
      <c r="I96" s="19" t="e">
        <f t="shared" si="2"/>
        <v>#DIV/0!</v>
      </c>
      <c r="J96" s="19" t="e">
        <f t="shared" si="2"/>
        <v>#DIV/0!</v>
      </c>
      <c r="K96" s="19" t="e">
        <f t="shared" si="2"/>
        <v>#DIV/0!</v>
      </c>
      <c r="L96" s="19" t="e">
        <f t="shared" si="2"/>
        <v>#DIV/0!</v>
      </c>
      <c r="M96" s="19" t="e">
        <f t="shared" si="2"/>
        <v>#DIV/0!</v>
      </c>
    </row>
    <row r="99" spans="1:14" ht="18" x14ac:dyDescent="0.3">
      <c r="A99" s="213" t="s">
        <v>851</v>
      </c>
      <c r="B99" s="213"/>
      <c r="C99" s="213"/>
      <c r="D99" s="213"/>
      <c r="E99" s="213"/>
      <c r="N99" s="28" t="s">
        <v>104</v>
      </c>
    </row>
    <row r="100" spans="1:14" ht="50.25" x14ac:dyDescent="0.25">
      <c r="A100" s="313" t="s">
        <v>556</v>
      </c>
      <c r="B100" s="236" t="str">
        <f>IF($B$4="","",SUM(B94:B96))</f>
        <v/>
      </c>
      <c r="C100" s="236" t="str">
        <f t="shared" ref="C100:L100" si="3">IF($B$4="","",SUM(C94:C96))</f>
        <v/>
      </c>
      <c r="D100" s="236" t="str">
        <f t="shared" si="3"/>
        <v/>
      </c>
      <c r="E100" s="236" t="str">
        <f t="shared" si="3"/>
        <v/>
      </c>
      <c r="F100" s="236" t="str">
        <f t="shared" si="3"/>
        <v/>
      </c>
      <c r="G100" s="236" t="str">
        <f t="shared" si="3"/>
        <v/>
      </c>
      <c r="H100" s="236" t="str">
        <f t="shared" si="3"/>
        <v/>
      </c>
      <c r="I100" s="236" t="str">
        <f t="shared" si="3"/>
        <v/>
      </c>
      <c r="J100" s="236" t="str">
        <f t="shared" si="3"/>
        <v/>
      </c>
      <c r="K100" s="236" t="str">
        <f t="shared" si="3"/>
        <v/>
      </c>
      <c r="L100" s="236" t="str">
        <f t="shared" si="3"/>
        <v/>
      </c>
      <c r="M100" s="236" t="str">
        <f>IF($B$4="","",SUM(M94:M96))</f>
        <v/>
      </c>
      <c r="N100" s="312">
        <f>SUM(B100:M100)</f>
        <v>0</v>
      </c>
    </row>
  </sheetData>
  <mergeCells count="1">
    <mergeCell ref="A84:B84"/>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B73DB-3DB3-479B-91ED-81DC928E6F34}">
  <sheetPr codeName="Sheet9">
    <tabColor theme="0" tint="-0.249977111117893"/>
  </sheetPr>
  <dimension ref="A4:M45"/>
  <sheetViews>
    <sheetView workbookViewId="0"/>
  </sheetViews>
  <sheetFormatPr defaultRowHeight="15" x14ac:dyDescent="0.25"/>
  <cols>
    <col min="1" max="1" width="29.28515625" customWidth="1"/>
    <col min="2" max="2" width="21.42578125" customWidth="1"/>
    <col min="3" max="3" width="21.5703125" customWidth="1"/>
    <col min="7" max="7" width="20.42578125" customWidth="1"/>
    <col min="8" max="8" width="13.140625" bestFit="1" customWidth="1"/>
    <col min="9" max="9" width="29.42578125" customWidth="1"/>
  </cols>
  <sheetData>
    <row r="4" spans="1:9" x14ac:dyDescent="0.25">
      <c r="A4" s="1" t="s">
        <v>862</v>
      </c>
    </row>
    <row r="5" spans="1:9" ht="75" x14ac:dyDescent="0.25">
      <c r="A5" s="411" t="s">
        <v>44</v>
      </c>
      <c r="B5" s="412" t="s">
        <v>863</v>
      </c>
      <c r="C5" s="412" t="s">
        <v>864</v>
      </c>
      <c r="D5" s="412" t="s">
        <v>865</v>
      </c>
      <c r="E5" s="411" t="s">
        <v>866</v>
      </c>
      <c r="F5" s="411" t="s">
        <v>867</v>
      </c>
      <c r="G5" s="413" t="s">
        <v>895</v>
      </c>
      <c r="H5" s="414" t="s">
        <v>370</v>
      </c>
      <c r="I5" s="306" t="s">
        <v>889</v>
      </c>
    </row>
    <row r="6" spans="1:9" ht="16.5" x14ac:dyDescent="0.3">
      <c r="A6" s="376" t="s">
        <v>141</v>
      </c>
      <c r="B6" s="377">
        <v>1</v>
      </c>
      <c r="C6" s="300">
        <v>30.1</v>
      </c>
      <c r="D6" s="300" t="s">
        <v>868</v>
      </c>
      <c r="E6" s="300">
        <v>-1.083</v>
      </c>
      <c r="F6" s="300">
        <v>3.5999999999999997E-2</v>
      </c>
      <c r="G6" s="300" t="s">
        <v>892</v>
      </c>
      <c r="H6" s="304"/>
    </row>
    <row r="7" spans="1:9" ht="16.5" x14ac:dyDescent="0.3">
      <c r="A7" s="376" t="s">
        <v>142</v>
      </c>
      <c r="B7" s="377">
        <v>2</v>
      </c>
      <c r="C7" s="300">
        <v>40</v>
      </c>
      <c r="D7" s="300" t="s">
        <v>868</v>
      </c>
      <c r="E7" s="300">
        <v>-1.145</v>
      </c>
      <c r="F7" s="300">
        <v>0.14799999999999999</v>
      </c>
      <c r="G7" s="300" t="s">
        <v>893</v>
      </c>
      <c r="H7" s="300"/>
    </row>
    <row r="8" spans="1:9" ht="16.5" x14ac:dyDescent="0.3">
      <c r="A8" s="378" t="s">
        <v>140</v>
      </c>
      <c r="B8" s="379">
        <v>3</v>
      </c>
      <c r="C8" s="300">
        <v>40</v>
      </c>
      <c r="D8" s="300" t="s">
        <v>869</v>
      </c>
      <c r="E8" s="300">
        <v>1</v>
      </c>
      <c r="F8" s="300">
        <v>0</v>
      </c>
      <c r="G8" s="300" t="s">
        <v>894</v>
      </c>
      <c r="H8" s="305"/>
    </row>
    <row r="11" spans="1:9" x14ac:dyDescent="0.25">
      <c r="A11" s="1" t="s">
        <v>885</v>
      </c>
    </row>
    <row r="12" spans="1:9" ht="33" x14ac:dyDescent="0.25">
      <c r="A12" s="411" t="s">
        <v>44</v>
      </c>
      <c r="B12" s="412" t="s">
        <v>864</v>
      </c>
      <c r="C12" s="412" t="s">
        <v>959</v>
      </c>
      <c r="D12" s="412" t="s">
        <v>865</v>
      </c>
      <c r="E12" s="411" t="s">
        <v>866</v>
      </c>
      <c r="F12" s="411" t="s">
        <v>867</v>
      </c>
      <c r="G12" s="411" t="s">
        <v>890</v>
      </c>
    </row>
    <row r="13" spans="1:9" ht="16.5" x14ac:dyDescent="0.3">
      <c r="A13" s="380" t="s">
        <v>886</v>
      </c>
      <c r="B13" s="380">
        <v>40</v>
      </c>
      <c r="C13" s="300">
        <v>1.03</v>
      </c>
      <c r="D13" s="300" t="s">
        <v>868</v>
      </c>
      <c r="E13" s="300">
        <v>0</v>
      </c>
      <c r="F13" s="300">
        <v>9.4E-2</v>
      </c>
      <c r="G13" s="300" t="s">
        <v>891</v>
      </c>
    </row>
    <row r="16" spans="1:9" x14ac:dyDescent="0.25">
      <c r="A16" s="1" t="s">
        <v>887</v>
      </c>
    </row>
    <row r="17" spans="1:7" ht="33" x14ac:dyDescent="0.25">
      <c r="A17" s="411" t="s">
        <v>874</v>
      </c>
      <c r="B17" s="412"/>
      <c r="C17" s="412" t="s">
        <v>896</v>
      </c>
      <c r="D17" s="412" t="s">
        <v>865</v>
      </c>
      <c r="E17" s="411" t="s">
        <v>866</v>
      </c>
      <c r="F17" s="411" t="s">
        <v>867</v>
      </c>
      <c r="G17" s="411" t="s">
        <v>890</v>
      </c>
    </row>
    <row r="18" spans="1:7" ht="16.5" x14ac:dyDescent="0.3">
      <c r="A18" s="369" t="s">
        <v>883</v>
      </c>
      <c r="B18" s="369"/>
      <c r="C18" s="410">
        <v>0.3</v>
      </c>
      <c r="D18" s="300" t="s">
        <v>868</v>
      </c>
      <c r="E18" s="300">
        <v>0</v>
      </c>
      <c r="F18" s="300">
        <v>5.4</v>
      </c>
      <c r="G18" s="300" t="s">
        <v>897</v>
      </c>
    </row>
    <row r="21" spans="1:7" x14ac:dyDescent="0.25">
      <c r="A21" s="1" t="s">
        <v>899</v>
      </c>
    </row>
    <row r="22" spans="1:7" ht="16.5" customHeight="1" x14ac:dyDescent="0.3">
      <c r="A22" s="344" t="s">
        <v>874</v>
      </c>
      <c r="B22" s="341" t="s">
        <v>898</v>
      </c>
    </row>
    <row r="23" spans="1:7" ht="16.5" x14ac:dyDescent="0.3">
      <c r="A23" s="140" t="s">
        <v>884</v>
      </c>
      <c r="B23" s="369">
        <v>0.1527</v>
      </c>
    </row>
    <row r="24" spans="1:7" ht="16.5" x14ac:dyDescent="0.3">
      <c r="A24" s="162" t="s">
        <v>883</v>
      </c>
      <c r="B24" s="369">
        <v>0.73280000000000001</v>
      </c>
    </row>
    <row r="25" spans="1:7" ht="16.5" x14ac:dyDescent="0.3">
      <c r="A25" s="162" t="s">
        <v>15</v>
      </c>
      <c r="B25" s="369">
        <v>9</v>
      </c>
    </row>
    <row r="31" spans="1:7" x14ac:dyDescent="0.25">
      <c r="A31" s="1" t="s">
        <v>888</v>
      </c>
    </row>
    <row r="33" spans="1:13" ht="16.5" x14ac:dyDescent="0.3">
      <c r="B33" s="342" t="s">
        <v>103</v>
      </c>
      <c r="C33" s="342" t="s">
        <v>68</v>
      </c>
      <c r="D33" s="343" t="s">
        <v>69</v>
      </c>
      <c r="E33" s="342" t="s">
        <v>70</v>
      </c>
      <c r="F33" s="342" t="s">
        <v>71</v>
      </c>
      <c r="G33" s="342" t="s">
        <v>72</v>
      </c>
      <c r="H33" s="342" t="s">
        <v>73</v>
      </c>
      <c r="I33" s="342" t="s">
        <v>74</v>
      </c>
      <c r="J33" s="342" t="s">
        <v>147</v>
      </c>
      <c r="K33" s="342" t="s">
        <v>76</v>
      </c>
      <c r="L33" s="355" t="s">
        <v>77</v>
      </c>
      <c r="M33" s="355" t="s">
        <v>78</v>
      </c>
    </row>
    <row r="34" spans="1:13" ht="33" customHeight="1" x14ac:dyDescent="0.3">
      <c r="A34" s="344" t="s">
        <v>874</v>
      </c>
      <c r="B34" s="342" t="s">
        <v>80</v>
      </c>
      <c r="C34" s="342" t="s">
        <v>81</v>
      </c>
      <c r="D34" s="342" t="s">
        <v>82</v>
      </c>
      <c r="E34" s="342" t="s">
        <v>83</v>
      </c>
      <c r="F34" s="342" t="s">
        <v>84</v>
      </c>
      <c r="G34" s="342" t="s">
        <v>85</v>
      </c>
      <c r="H34" s="342" t="s">
        <v>86</v>
      </c>
      <c r="I34" s="342" t="s">
        <v>87</v>
      </c>
      <c r="J34" s="342" t="s">
        <v>782</v>
      </c>
      <c r="K34" s="342" t="s">
        <v>89</v>
      </c>
      <c r="L34" s="342" t="s">
        <v>90</v>
      </c>
      <c r="M34" s="342" t="s">
        <v>91</v>
      </c>
    </row>
    <row r="35" spans="1:13" ht="16.5" x14ac:dyDescent="0.3">
      <c r="A35" s="140" t="s">
        <v>884</v>
      </c>
      <c r="B35" s="375">
        <v>0</v>
      </c>
      <c r="C35" s="18">
        <v>1.3343999039473904E-2</v>
      </c>
      <c r="D35" s="18">
        <v>0</v>
      </c>
      <c r="E35" s="18">
        <v>9.9505582284165686E-2</v>
      </c>
      <c r="F35" s="18">
        <v>0.67327803077987436</v>
      </c>
      <c r="G35" s="18">
        <v>0.14667381284743905</v>
      </c>
      <c r="H35" s="18">
        <v>6.2675594036130336E-2</v>
      </c>
      <c r="I35" s="18">
        <v>4.5229810129166223E-3</v>
      </c>
      <c r="J35" s="18">
        <v>0</v>
      </c>
      <c r="K35" s="18">
        <v>0</v>
      </c>
      <c r="L35" s="35">
        <v>0</v>
      </c>
      <c r="M35" s="35">
        <v>0</v>
      </c>
    </row>
    <row r="36" spans="1:13" ht="16.5" x14ac:dyDescent="0.3">
      <c r="A36" s="162" t="s">
        <v>883</v>
      </c>
      <c r="B36" s="375">
        <v>0</v>
      </c>
      <c r="C36" s="18">
        <v>6.6193530776579787E-2</v>
      </c>
      <c r="D36" s="18">
        <v>0.19093762795141261</v>
      </c>
      <c r="E36" s="18">
        <v>0.38706155315954693</v>
      </c>
      <c r="F36" s="18">
        <v>0.27528319912651839</v>
      </c>
      <c r="G36" s="18">
        <v>6.6602975296847292E-2</v>
      </c>
      <c r="H36" s="18">
        <v>1.2965743141804287E-2</v>
      </c>
      <c r="I36" s="18">
        <v>9.5537054729084219E-4</v>
      </c>
      <c r="J36" s="18">
        <v>0</v>
      </c>
      <c r="K36" s="18">
        <v>0</v>
      </c>
      <c r="L36" s="35">
        <v>0</v>
      </c>
      <c r="M36" s="35">
        <v>0</v>
      </c>
    </row>
    <row r="37" spans="1:13" ht="16.5" x14ac:dyDescent="0.3">
      <c r="A37" s="162" t="s">
        <v>15</v>
      </c>
      <c r="B37" s="375">
        <v>0</v>
      </c>
      <c r="C37" s="18">
        <v>7.1888888888888905E-2</v>
      </c>
      <c r="D37" s="18">
        <v>0.20200000000000004</v>
      </c>
      <c r="E37" s="18">
        <v>0.39661111111111119</v>
      </c>
      <c r="F37" s="18">
        <v>0.26042222222222228</v>
      </c>
      <c r="G37" s="18">
        <v>5.7777777777777789E-2</v>
      </c>
      <c r="H37" s="18">
        <v>1.0500000000000002E-2</v>
      </c>
      <c r="I37" s="18">
        <v>8.0000000000000015E-4</v>
      </c>
      <c r="J37" s="18">
        <v>0</v>
      </c>
      <c r="K37" s="18">
        <v>0</v>
      </c>
      <c r="L37" s="18">
        <v>0</v>
      </c>
      <c r="M37" s="18">
        <v>0</v>
      </c>
    </row>
    <row r="40" spans="1:13" x14ac:dyDescent="0.25">
      <c r="D40" t="s">
        <v>783</v>
      </c>
    </row>
    <row r="42" spans="1:13" x14ac:dyDescent="0.25">
      <c r="A42" s="310" t="s">
        <v>903</v>
      </c>
    </row>
    <row r="43" spans="1:13" x14ac:dyDescent="0.25">
      <c r="A43" s="299"/>
    </row>
    <row r="44" spans="1:13" x14ac:dyDescent="0.25">
      <c r="A44" s="299" t="s">
        <v>905</v>
      </c>
    </row>
    <row r="45" spans="1:13" x14ac:dyDescent="0.25">
      <c r="A45" s="299" t="s">
        <v>906</v>
      </c>
    </row>
  </sheetData>
  <pageMargins left="0.7" right="0.7" top="0.75" bottom="0.75" header="0.3" footer="0.3"/>
  <tableParts count="1">
    <tablePart r:id="rId1"/>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A8253-D54A-4821-8FFE-52DAD8CD66C6}">
  <sheetPr codeName="Sheet111">
    <tabColor theme="0" tint="-0.249977111117893"/>
  </sheetPr>
  <dimension ref="A2:O48"/>
  <sheetViews>
    <sheetView workbookViewId="0"/>
  </sheetViews>
  <sheetFormatPr defaultRowHeight="15" x14ac:dyDescent="0.25"/>
  <cols>
    <col min="1" max="1" width="26.85546875" customWidth="1"/>
    <col min="2" max="2" width="14.42578125" customWidth="1"/>
    <col min="3" max="3" width="16.28515625" customWidth="1"/>
    <col min="4" max="4" width="12.5703125" customWidth="1"/>
    <col min="5" max="5" width="28.5703125" customWidth="1"/>
    <col min="6" max="6" width="21.5703125" customWidth="1"/>
    <col min="7" max="7" width="33.42578125" customWidth="1"/>
    <col min="8" max="8" width="16.85546875" customWidth="1"/>
    <col min="9" max="9" width="11.42578125" customWidth="1"/>
    <col min="10" max="10" width="20" customWidth="1"/>
    <col min="11" max="11" width="25.7109375" customWidth="1"/>
  </cols>
  <sheetData>
    <row r="2" spans="1:12" ht="15.75" x14ac:dyDescent="0.25">
      <c r="A2" s="316" t="s">
        <v>912</v>
      </c>
    </row>
    <row r="3" spans="1:12" ht="16.5" x14ac:dyDescent="0.3">
      <c r="A3" s="392" t="s">
        <v>810</v>
      </c>
      <c r="B3" s="393" t="s">
        <v>913</v>
      </c>
      <c r="C3" s="393" t="s">
        <v>914</v>
      </c>
      <c r="D3" s="394" t="s">
        <v>751</v>
      </c>
      <c r="E3" s="393" t="s">
        <v>915</v>
      </c>
      <c r="F3" s="393" t="s">
        <v>916</v>
      </c>
      <c r="G3" s="393" t="s">
        <v>988</v>
      </c>
      <c r="H3" s="393" t="s">
        <v>917</v>
      </c>
      <c r="I3" s="393" t="s">
        <v>918</v>
      </c>
      <c r="J3" s="393" t="s">
        <v>919</v>
      </c>
      <c r="K3" s="393" t="s">
        <v>920</v>
      </c>
      <c r="L3" s="395" t="s">
        <v>18</v>
      </c>
    </row>
    <row r="4" spans="1:12" ht="16.5" x14ac:dyDescent="0.3">
      <c r="A4" s="415" t="s">
        <v>567</v>
      </c>
      <c r="B4" s="382">
        <v>0</v>
      </c>
      <c r="C4" s="382">
        <v>0</v>
      </c>
      <c r="D4" s="382">
        <v>0</v>
      </c>
      <c r="E4" s="383">
        <v>1</v>
      </c>
      <c r="F4" s="382">
        <v>0</v>
      </c>
      <c r="G4" s="382">
        <v>0</v>
      </c>
      <c r="H4" s="382">
        <v>0</v>
      </c>
      <c r="I4" s="382">
        <v>0</v>
      </c>
      <c r="J4" s="382">
        <v>0</v>
      </c>
      <c r="K4" s="382">
        <v>0</v>
      </c>
      <c r="L4" s="382">
        <v>0</v>
      </c>
    </row>
    <row r="5" spans="1:12" ht="16.5" x14ac:dyDescent="0.3">
      <c r="A5" s="384" t="s">
        <v>833</v>
      </c>
      <c r="B5" s="385">
        <v>0</v>
      </c>
      <c r="C5" s="386">
        <v>1</v>
      </c>
      <c r="D5" s="385">
        <v>0</v>
      </c>
      <c r="E5" s="385">
        <v>0</v>
      </c>
      <c r="F5" s="385">
        <v>0</v>
      </c>
      <c r="G5" s="385">
        <v>0</v>
      </c>
      <c r="H5" s="385">
        <v>0</v>
      </c>
      <c r="I5" s="385">
        <v>0</v>
      </c>
      <c r="J5" s="385">
        <v>0</v>
      </c>
      <c r="K5" s="385">
        <v>0</v>
      </c>
      <c r="L5" s="385">
        <v>0</v>
      </c>
    </row>
    <row r="6" spans="1:12" ht="16.5" x14ac:dyDescent="0.3">
      <c r="A6" s="381" t="s">
        <v>834</v>
      </c>
      <c r="B6" s="382">
        <v>0</v>
      </c>
      <c r="C6" s="382">
        <v>0</v>
      </c>
      <c r="D6" s="382">
        <v>0</v>
      </c>
      <c r="E6" s="382">
        <v>0</v>
      </c>
      <c r="F6" s="383">
        <v>1</v>
      </c>
      <c r="G6" s="382">
        <v>0</v>
      </c>
      <c r="H6" s="382">
        <v>0</v>
      </c>
      <c r="I6" s="382">
        <v>0</v>
      </c>
      <c r="J6" s="382">
        <v>0</v>
      </c>
      <c r="K6" s="382">
        <v>0</v>
      </c>
      <c r="L6" s="382">
        <v>0</v>
      </c>
    </row>
    <row r="7" spans="1:12" ht="16.5" x14ac:dyDescent="0.3">
      <c r="A7" s="384" t="s">
        <v>753</v>
      </c>
      <c r="B7" s="385">
        <v>0</v>
      </c>
      <c r="C7" s="385">
        <v>0</v>
      </c>
      <c r="D7" s="385">
        <v>0</v>
      </c>
      <c r="E7" s="385">
        <v>0</v>
      </c>
      <c r="F7" s="385">
        <v>0</v>
      </c>
      <c r="G7" s="386">
        <v>1</v>
      </c>
      <c r="H7" s="385">
        <v>0</v>
      </c>
      <c r="I7" s="385">
        <v>0</v>
      </c>
      <c r="J7" s="385">
        <v>0</v>
      </c>
      <c r="K7" s="385">
        <v>0</v>
      </c>
      <c r="L7" s="385">
        <v>0</v>
      </c>
    </row>
    <row r="8" spans="1:12" ht="16.5" x14ac:dyDescent="0.3">
      <c r="A8" s="387" t="s">
        <v>956</v>
      </c>
      <c r="B8" s="382">
        <v>0</v>
      </c>
      <c r="C8" s="382">
        <v>0</v>
      </c>
      <c r="D8" s="382">
        <v>0</v>
      </c>
      <c r="E8" s="382">
        <v>0</v>
      </c>
      <c r="F8" s="382">
        <v>0</v>
      </c>
      <c r="G8" s="382">
        <v>0</v>
      </c>
      <c r="H8" s="382">
        <v>0</v>
      </c>
      <c r="I8" s="382">
        <v>0</v>
      </c>
      <c r="J8" s="383">
        <v>1</v>
      </c>
      <c r="K8" s="382">
        <v>0</v>
      </c>
      <c r="L8" s="382">
        <v>0</v>
      </c>
    </row>
    <row r="9" spans="1:12" ht="16.5" x14ac:dyDescent="0.3">
      <c r="A9" s="387" t="s">
        <v>832</v>
      </c>
      <c r="B9" s="386">
        <v>1</v>
      </c>
      <c r="C9" s="385">
        <v>0</v>
      </c>
      <c r="D9" s="385">
        <v>0</v>
      </c>
      <c r="E9" s="385">
        <v>0</v>
      </c>
      <c r="F9" s="385">
        <v>0</v>
      </c>
      <c r="G9" s="385">
        <v>0</v>
      </c>
      <c r="H9" s="385">
        <v>0</v>
      </c>
      <c r="I9" s="385">
        <v>0</v>
      </c>
      <c r="J9" s="385">
        <v>0</v>
      </c>
      <c r="K9" s="385">
        <v>0</v>
      </c>
      <c r="L9" s="385">
        <v>0</v>
      </c>
    </row>
    <row r="10" spans="1:12" ht="16.5" x14ac:dyDescent="0.3">
      <c r="A10" s="381" t="s">
        <v>754</v>
      </c>
      <c r="B10" s="382">
        <v>0</v>
      </c>
      <c r="C10" s="382">
        <v>0</v>
      </c>
      <c r="D10" s="382">
        <v>0</v>
      </c>
      <c r="E10" s="382">
        <v>0</v>
      </c>
      <c r="F10" s="382">
        <v>0</v>
      </c>
      <c r="G10" s="383">
        <v>1</v>
      </c>
      <c r="H10" s="382">
        <v>0</v>
      </c>
      <c r="I10" s="382">
        <v>0</v>
      </c>
      <c r="J10" s="382">
        <v>0</v>
      </c>
      <c r="K10" s="382">
        <v>0</v>
      </c>
      <c r="L10" s="382">
        <v>0</v>
      </c>
    </row>
    <row r="11" spans="1:12" ht="16.5" x14ac:dyDescent="0.3">
      <c r="A11" s="416" t="s">
        <v>751</v>
      </c>
      <c r="B11" s="385">
        <v>0</v>
      </c>
      <c r="C11" s="385">
        <v>0</v>
      </c>
      <c r="D11" s="386">
        <v>1</v>
      </c>
      <c r="E11" s="385">
        <v>0</v>
      </c>
      <c r="F11" s="385">
        <v>0</v>
      </c>
      <c r="G11" s="385">
        <v>0</v>
      </c>
      <c r="H11" s="385">
        <v>0</v>
      </c>
      <c r="I11" s="385">
        <v>0</v>
      </c>
      <c r="J11" s="385">
        <v>0</v>
      </c>
      <c r="K11" s="385">
        <v>0</v>
      </c>
      <c r="L11" s="385">
        <v>0</v>
      </c>
    </row>
    <row r="12" spans="1:12" ht="16.5" x14ac:dyDescent="0.3">
      <c r="A12" s="381" t="s">
        <v>822</v>
      </c>
      <c r="B12" s="388">
        <v>0.95</v>
      </c>
      <c r="C12" s="388">
        <v>0.05</v>
      </c>
      <c r="D12" s="382">
        <v>0</v>
      </c>
      <c r="E12" s="382">
        <v>0</v>
      </c>
      <c r="F12" s="382">
        <v>0</v>
      </c>
      <c r="G12" s="382">
        <v>0</v>
      </c>
      <c r="H12" s="382">
        <v>0</v>
      </c>
      <c r="I12" s="382">
        <v>0</v>
      </c>
      <c r="J12" s="382">
        <v>0</v>
      </c>
      <c r="K12" s="382">
        <v>0</v>
      </c>
      <c r="L12" s="382">
        <v>0</v>
      </c>
    </row>
    <row r="13" spans="1:12" ht="16.5" x14ac:dyDescent="0.3">
      <c r="A13" s="416" t="s">
        <v>411</v>
      </c>
      <c r="B13" s="385">
        <v>0</v>
      </c>
      <c r="C13" s="385">
        <v>0</v>
      </c>
      <c r="D13" s="385">
        <v>0</v>
      </c>
      <c r="E13" s="386">
        <v>1</v>
      </c>
      <c r="F13" s="385">
        <v>0</v>
      </c>
      <c r="G13" s="385">
        <v>0</v>
      </c>
      <c r="H13" s="385">
        <v>0</v>
      </c>
      <c r="I13" s="385">
        <v>0</v>
      </c>
      <c r="J13" s="385">
        <v>0</v>
      </c>
      <c r="K13" s="385">
        <v>0</v>
      </c>
      <c r="L13" s="385">
        <v>0</v>
      </c>
    </row>
    <row r="14" spans="1:12" ht="16.5" x14ac:dyDescent="0.3">
      <c r="A14" s="415" t="s">
        <v>554</v>
      </c>
      <c r="B14" s="382">
        <v>0</v>
      </c>
      <c r="C14" s="382">
        <v>0</v>
      </c>
      <c r="D14" s="382">
        <v>0</v>
      </c>
      <c r="E14" s="383">
        <v>1</v>
      </c>
      <c r="F14" s="382">
        <v>0</v>
      </c>
      <c r="G14" s="382">
        <v>0</v>
      </c>
      <c r="H14" s="382">
        <v>0</v>
      </c>
      <c r="I14" s="382">
        <v>0</v>
      </c>
      <c r="J14" s="382">
        <v>0</v>
      </c>
      <c r="K14" s="382">
        <v>0</v>
      </c>
      <c r="L14" s="382">
        <v>0</v>
      </c>
    </row>
    <row r="15" spans="1:12" ht="16.5" x14ac:dyDescent="0.3">
      <c r="A15" s="387" t="s">
        <v>955</v>
      </c>
      <c r="B15" s="385">
        <v>0</v>
      </c>
      <c r="C15" s="389">
        <v>0.6</v>
      </c>
      <c r="D15" s="385">
        <v>0</v>
      </c>
      <c r="E15" s="385">
        <v>0</v>
      </c>
      <c r="F15" s="389">
        <v>0.3</v>
      </c>
      <c r="G15" s="385">
        <v>0</v>
      </c>
      <c r="H15" s="385">
        <v>0</v>
      </c>
      <c r="I15" s="385">
        <v>0</v>
      </c>
      <c r="J15" s="385">
        <v>0</v>
      </c>
      <c r="K15" s="389">
        <v>0.1</v>
      </c>
      <c r="L15" s="385">
        <v>0</v>
      </c>
    </row>
    <row r="16" spans="1:12" ht="16.5" x14ac:dyDescent="0.3">
      <c r="A16" s="415" t="s">
        <v>752</v>
      </c>
      <c r="B16" s="382">
        <v>0</v>
      </c>
      <c r="C16" s="382">
        <v>0</v>
      </c>
      <c r="D16" s="382">
        <v>0</v>
      </c>
      <c r="E16" s="383">
        <v>1</v>
      </c>
      <c r="F16" s="382">
        <v>0</v>
      </c>
      <c r="G16" s="382">
        <v>0</v>
      </c>
      <c r="H16" s="382">
        <v>0</v>
      </c>
      <c r="I16" s="382">
        <v>0</v>
      </c>
      <c r="J16" s="382">
        <v>0</v>
      </c>
      <c r="K16" s="382">
        <v>0</v>
      </c>
      <c r="L16" s="382">
        <v>0</v>
      </c>
    </row>
    <row r="17" spans="1:13" ht="16.5" x14ac:dyDescent="0.3">
      <c r="A17" s="381" t="s">
        <v>957</v>
      </c>
      <c r="B17" s="389">
        <v>0.60920096109076738</v>
      </c>
      <c r="C17" s="389">
        <v>0.25725012718888435</v>
      </c>
      <c r="D17" s="385">
        <v>0</v>
      </c>
      <c r="E17" s="385">
        <v>0</v>
      </c>
      <c r="F17" s="385">
        <v>0</v>
      </c>
      <c r="G17" s="385">
        <v>0</v>
      </c>
      <c r="H17" s="385">
        <v>0</v>
      </c>
      <c r="I17" s="389">
        <v>0.10403902439541925</v>
      </c>
      <c r="J17" s="385">
        <v>0</v>
      </c>
      <c r="K17" s="385">
        <v>0</v>
      </c>
      <c r="L17" s="389">
        <v>2.9509887324929016E-2</v>
      </c>
    </row>
    <row r="18" spans="1:13" ht="16.5" x14ac:dyDescent="0.3">
      <c r="A18" s="381" t="s">
        <v>958</v>
      </c>
      <c r="B18" s="390">
        <v>0</v>
      </c>
      <c r="C18" s="390">
        <v>0</v>
      </c>
      <c r="D18" s="390">
        <v>0</v>
      </c>
      <c r="E18" s="390">
        <v>0</v>
      </c>
      <c r="F18" s="390">
        <v>0</v>
      </c>
      <c r="G18" s="390">
        <v>0</v>
      </c>
      <c r="H18" s="391">
        <v>1</v>
      </c>
      <c r="I18" s="390">
        <v>0</v>
      </c>
      <c r="J18" s="390">
        <v>0</v>
      </c>
      <c r="K18" s="390">
        <v>0</v>
      </c>
      <c r="L18" s="390">
        <v>0</v>
      </c>
    </row>
    <row r="19" spans="1:13" ht="16.5" x14ac:dyDescent="0.3">
      <c r="B19" s="3"/>
      <c r="C19" s="3"/>
      <c r="D19" s="3"/>
      <c r="E19" s="3"/>
      <c r="F19" s="3"/>
      <c r="G19" s="3"/>
      <c r="H19" s="3"/>
      <c r="I19" s="3"/>
      <c r="J19" s="3"/>
      <c r="K19" s="3"/>
      <c r="L19" s="3"/>
    </row>
    <row r="21" spans="1:13" ht="16.5" x14ac:dyDescent="0.3">
      <c r="A21" s="317" t="s">
        <v>921</v>
      </c>
      <c r="B21" s="93"/>
      <c r="C21" s="93"/>
      <c r="D21" s="93"/>
      <c r="E21" s="93"/>
      <c r="F21" s="93"/>
      <c r="G21" s="93"/>
    </row>
    <row r="22" spans="1:13" ht="16.5" x14ac:dyDescent="0.3">
      <c r="A22" s="396" t="s">
        <v>922</v>
      </c>
      <c r="B22" s="396" t="s">
        <v>923</v>
      </c>
      <c r="C22" s="79" t="s">
        <v>924</v>
      </c>
      <c r="E22" s="79"/>
      <c r="F22" s="79"/>
    </row>
    <row r="23" spans="1:13" ht="16.5" x14ac:dyDescent="0.3">
      <c r="A23" s="8" t="s">
        <v>913</v>
      </c>
      <c r="B23" s="18">
        <v>0.95</v>
      </c>
      <c r="C23" s="72"/>
      <c r="D23" s="4"/>
      <c r="E23" s="4"/>
      <c r="F23" s="4"/>
    </row>
    <row r="24" spans="1:13" ht="16.5" x14ac:dyDescent="0.3">
      <c r="A24" s="8" t="s">
        <v>925</v>
      </c>
      <c r="B24" s="18">
        <v>0.05</v>
      </c>
      <c r="C24" s="72"/>
      <c r="D24" s="4"/>
      <c r="E24" s="4"/>
      <c r="F24" s="4"/>
    </row>
    <row r="25" spans="1:13" ht="16.5" x14ac:dyDescent="0.3">
      <c r="A25" s="751" t="s">
        <v>926</v>
      </c>
      <c r="B25" s="751"/>
      <c r="C25" s="751"/>
      <c r="D25" s="751"/>
      <c r="E25" s="751"/>
      <c r="F25" s="751"/>
      <c r="G25" s="751"/>
      <c r="H25" s="751"/>
      <c r="I25" s="751"/>
      <c r="J25" s="751"/>
      <c r="K25" s="751"/>
      <c r="L25" s="751"/>
      <c r="M25" s="751"/>
    </row>
    <row r="27" spans="1:13" ht="16.5" x14ac:dyDescent="0.3">
      <c r="A27" s="4"/>
      <c r="B27" s="4"/>
      <c r="C27" s="4"/>
      <c r="D27" s="4"/>
      <c r="E27" s="4"/>
      <c r="F27" s="4"/>
      <c r="G27" s="4"/>
      <c r="H27" s="4"/>
      <c r="I27" s="4"/>
    </row>
    <row r="28" spans="1:13" ht="15.75" customHeight="1" x14ac:dyDescent="0.25">
      <c r="A28" s="754" t="s">
        <v>927</v>
      </c>
      <c r="B28" s="754"/>
      <c r="C28" s="754"/>
      <c r="D28" s="754"/>
      <c r="E28" s="754"/>
      <c r="F28" s="754"/>
      <c r="G28" s="329"/>
      <c r="H28" s="329"/>
      <c r="I28" s="329"/>
    </row>
    <row r="29" spans="1:13" ht="16.5" x14ac:dyDescent="0.3">
      <c r="A29" s="396" t="s">
        <v>44</v>
      </c>
      <c r="B29" s="396" t="s">
        <v>928</v>
      </c>
      <c r="C29" s="396" t="s">
        <v>918</v>
      </c>
      <c r="D29" s="396" t="s">
        <v>929</v>
      </c>
      <c r="E29" s="396" t="s">
        <v>913</v>
      </c>
      <c r="F29" s="396" t="s">
        <v>18</v>
      </c>
    </row>
    <row r="30" spans="1:13" ht="16.5" x14ac:dyDescent="0.3">
      <c r="A30" s="64" t="s">
        <v>53</v>
      </c>
      <c r="B30" s="8" t="s">
        <v>47</v>
      </c>
      <c r="C30" s="8">
        <v>0.22277847309136423</v>
      </c>
      <c r="D30" s="8">
        <v>0.20275344180225283</v>
      </c>
      <c r="E30" s="8">
        <v>0.52690863579474345</v>
      </c>
      <c r="F30" s="8">
        <v>4.7559449311639551E-2</v>
      </c>
      <c r="G30" s="79" t="s">
        <v>924</v>
      </c>
    </row>
    <row r="31" spans="1:13" ht="16.5" x14ac:dyDescent="0.3">
      <c r="A31" s="64" t="s">
        <v>53</v>
      </c>
      <c r="B31" s="8" t="s">
        <v>48</v>
      </c>
      <c r="C31" s="8">
        <v>2.7944111823458871E-2</v>
      </c>
      <c r="D31" s="8">
        <v>0.20558882236469178</v>
      </c>
      <c r="E31" s="8">
        <v>0.71057884228269608</v>
      </c>
      <c r="F31" s="8">
        <v>5.5888223529153271E-2</v>
      </c>
    </row>
    <row r="32" spans="1:13" ht="16.5" x14ac:dyDescent="0.3">
      <c r="A32" s="64" t="s">
        <v>53</v>
      </c>
      <c r="B32" s="8" t="s">
        <v>49</v>
      </c>
      <c r="C32" s="8">
        <v>3.6509349927060598E-2</v>
      </c>
      <c r="D32" s="8">
        <v>0.48886910068989609</v>
      </c>
      <c r="E32" s="8">
        <v>0.4585930543146593</v>
      </c>
      <c r="F32" s="8">
        <v>1.6028495068383962E-2</v>
      </c>
    </row>
    <row r="33" spans="1:15" ht="16.5" x14ac:dyDescent="0.3">
      <c r="A33" s="64" t="s">
        <v>53</v>
      </c>
      <c r="B33" s="8" t="s">
        <v>50</v>
      </c>
      <c r="C33" s="8">
        <v>5.2083333327907988E-2</v>
      </c>
      <c r="D33" s="8">
        <v>8.2465277803909873E-2</v>
      </c>
      <c r="E33" s="8">
        <v>0.84809027772415735</v>
      </c>
      <c r="F33" s="8">
        <v>1.7361111144024884E-2</v>
      </c>
    </row>
    <row r="34" spans="1:15" ht="16.5" x14ac:dyDescent="0.3">
      <c r="A34" s="64" t="s">
        <v>930</v>
      </c>
      <c r="B34" s="8" t="s">
        <v>47</v>
      </c>
      <c r="C34" s="8">
        <v>9.5032397408207334E-2</v>
      </c>
      <c r="D34" s="8">
        <v>0.38012958963282933</v>
      </c>
      <c r="E34" s="8">
        <v>0.50215982721382291</v>
      </c>
      <c r="F34" s="8">
        <v>2.267818574514039E-2</v>
      </c>
    </row>
    <row r="35" spans="1:15" ht="16.5" x14ac:dyDescent="0.3">
      <c r="A35" s="64" t="s">
        <v>56</v>
      </c>
      <c r="B35" s="8" t="s">
        <v>47</v>
      </c>
      <c r="C35" s="8">
        <v>0.18988648079451648</v>
      </c>
      <c r="D35" s="8">
        <v>0.18369453083972603</v>
      </c>
      <c r="E35" s="8">
        <v>0.60887512921452536</v>
      </c>
      <c r="F35" s="8">
        <v>1.7543859151232053E-2</v>
      </c>
    </row>
    <row r="36" spans="1:15" ht="16.5" x14ac:dyDescent="0.3">
      <c r="A36" s="8" t="s">
        <v>931</v>
      </c>
      <c r="B36" s="8"/>
      <c r="C36" s="8">
        <f>AVERAGE(C30:C35)</f>
        <v>0.10403902439541925</v>
      </c>
      <c r="D36" s="8">
        <f t="shared" ref="D36:F36" si="0">AVERAGE(D30:D35)</f>
        <v>0.25725012718888435</v>
      </c>
      <c r="E36" s="8">
        <f t="shared" si="0"/>
        <v>0.60920096109076738</v>
      </c>
      <c r="F36" s="8">
        <f t="shared" si="0"/>
        <v>2.9509887324929016E-2</v>
      </c>
    </row>
    <row r="37" spans="1:15" ht="16.5" customHeight="1" x14ac:dyDescent="0.3">
      <c r="A37" s="751" t="s">
        <v>932</v>
      </c>
      <c r="B37" s="751"/>
      <c r="C37" s="751"/>
      <c r="D37" s="751"/>
      <c r="E37" s="751"/>
      <c r="F37" s="751"/>
      <c r="G37" s="751"/>
      <c r="H37" s="751"/>
      <c r="I37" s="751"/>
      <c r="J37" s="751"/>
      <c r="K37" s="751"/>
      <c r="L37" s="751"/>
      <c r="M37" s="751"/>
    </row>
    <row r="38" spans="1:15" x14ac:dyDescent="0.25">
      <c r="A38" s="318"/>
      <c r="B38" s="318"/>
      <c r="C38" s="319"/>
      <c r="D38" s="319"/>
      <c r="E38" s="319"/>
      <c r="F38" s="319"/>
      <c r="G38" s="319"/>
      <c r="H38" s="319"/>
      <c r="I38" s="319"/>
      <c r="J38" s="319"/>
      <c r="K38" s="319"/>
    </row>
    <row r="40" spans="1:15" ht="16.5" x14ac:dyDescent="0.3">
      <c r="A40" s="317" t="s">
        <v>933</v>
      </c>
      <c r="B40" s="124"/>
      <c r="C40" s="124"/>
      <c r="D40" s="320"/>
    </row>
    <row r="41" spans="1:15" ht="16.5" x14ac:dyDescent="0.3">
      <c r="A41" s="396" t="s">
        <v>934</v>
      </c>
      <c r="B41" s="396" t="s">
        <v>923</v>
      </c>
      <c r="C41" s="124"/>
    </row>
    <row r="42" spans="1:15" ht="16.5" x14ac:dyDescent="0.3">
      <c r="A42" s="321" t="s">
        <v>925</v>
      </c>
      <c r="B42" s="18">
        <v>0.6</v>
      </c>
      <c r="C42" s="79" t="s">
        <v>924</v>
      </c>
    </row>
    <row r="43" spans="1:15" ht="16.5" x14ac:dyDescent="0.3">
      <c r="A43" s="321" t="s">
        <v>916</v>
      </c>
      <c r="B43" s="18">
        <v>0.3</v>
      </c>
      <c r="C43" s="93"/>
    </row>
    <row r="44" spans="1:15" ht="16.5" x14ac:dyDescent="0.3">
      <c r="A44" s="321" t="s">
        <v>920</v>
      </c>
      <c r="B44" s="18">
        <v>0.1</v>
      </c>
      <c r="C44" s="93"/>
    </row>
    <row r="45" spans="1:15" ht="46.5" customHeight="1" x14ac:dyDescent="0.25">
      <c r="A45" s="752" t="s">
        <v>935</v>
      </c>
      <c r="B45" s="753"/>
      <c r="C45" s="753"/>
      <c r="D45" s="753"/>
      <c r="E45" s="753"/>
      <c r="F45" s="753"/>
      <c r="G45" s="753"/>
      <c r="H45" s="753"/>
      <c r="I45" s="753"/>
      <c r="J45" s="753"/>
      <c r="K45" s="753"/>
      <c r="L45" s="753"/>
      <c r="M45" s="753"/>
      <c r="N45" s="753"/>
      <c r="O45" s="753"/>
    </row>
    <row r="48" spans="1:15" ht="15.75" x14ac:dyDescent="0.25">
      <c r="A48" s="317" t="s">
        <v>965</v>
      </c>
    </row>
  </sheetData>
  <mergeCells count="4">
    <mergeCell ref="A25:M25"/>
    <mergeCell ref="A37:M37"/>
    <mergeCell ref="A45:O45"/>
    <mergeCell ref="A28:F28"/>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26A3B7F7948EF48AA93BBA6A6ABDE78" ma:contentTypeVersion="10" ma:contentTypeDescription="Create a new document." ma:contentTypeScope="" ma:versionID="ef64b1faf2314afbc871b5a923d0a084">
  <xsd:schema xmlns:xsd="http://www.w3.org/2001/XMLSchema" xmlns:xs="http://www.w3.org/2001/XMLSchema" xmlns:p="http://schemas.microsoft.com/office/2006/metadata/properties" xmlns:ns3="3190fef2-146d-4cb3-88e5-a612589f5e92" targetNamespace="http://schemas.microsoft.com/office/2006/metadata/properties" ma:root="true" ma:fieldsID="82e10d69a141e1ca06deee3cb428c013" ns3:_="">
    <xsd:import namespace="3190fef2-146d-4cb3-88e5-a612589f5e92"/>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90fef2-146d-4cb3-88e5-a612589f5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C9EDD7-1E70-400E-AFEB-ECA86E8487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90fef2-146d-4cb3-88e5-a612589f5e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C5EB077-6B9F-409C-92DC-634C5572BDE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831083E0-21C0-4616-9BBA-67F434555258}">
  <ds:schemaRefs>
    <ds:schemaRef ds:uri="http://schemas.microsoft.com/sharepoint/v3/contenttype/forms"/>
  </ds:schemaRefs>
</ds:datastoreItem>
</file>

<file path=docMetadata/LabelInfo.xml><?xml version="1.0" encoding="utf-8"?>
<clbl:labelList xmlns:clbl="http://schemas.microsoft.com/office/2020/mipLabelMetadata">
  <clbl:label id="{912a5d77-fb98-4eee-af32-1334d8f04a53}" enabled="0" method="" siteId="{912a5d77-fb98-4eee-af32-1334d8f04a5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7</vt:i4>
      </vt:variant>
    </vt:vector>
  </HeadingPairs>
  <TitlesOfParts>
    <vt:vector size="33" baseType="lpstr">
      <vt:lpstr>Overview</vt:lpstr>
      <vt:lpstr>Transect Summary</vt:lpstr>
      <vt:lpstr>Substrate</vt:lpstr>
      <vt:lpstr>Urchins Bioerosion</vt:lpstr>
      <vt:lpstr>Urchins Skeletal</vt:lpstr>
      <vt:lpstr>Endolithic Sponges</vt:lpstr>
      <vt:lpstr>Articulated Coralline Alage</vt:lpstr>
      <vt:lpstr>ACA metrics</vt:lpstr>
      <vt:lpstr>Halimeda</vt:lpstr>
      <vt:lpstr>Halimeda metrics</vt:lpstr>
      <vt:lpstr>Penicillus</vt:lpstr>
      <vt:lpstr>Penicillus metrics</vt:lpstr>
      <vt:lpstr>Udotea</vt:lpstr>
      <vt:lpstr>Udotea metrics</vt:lpstr>
      <vt:lpstr>Rhipocephalus</vt:lpstr>
      <vt:lpstr>Rhipocephalus metrics</vt:lpstr>
      <vt:lpstr>Acetabularia</vt:lpstr>
      <vt:lpstr>Acetabularia metrics</vt:lpstr>
      <vt:lpstr>Bivalves</vt:lpstr>
      <vt:lpstr>Gastropods</vt:lpstr>
      <vt:lpstr>Benthic Foraminifera</vt:lpstr>
      <vt:lpstr>Seagrass Epibionts</vt:lpstr>
      <vt:lpstr>Seagrass metrics</vt:lpstr>
      <vt:lpstr>Brittle stars</vt:lpstr>
      <vt:lpstr>Brittle star metrics</vt:lpstr>
      <vt:lpstr>Grain Constituent Metrics</vt:lpstr>
      <vt:lpstr>BenthicData</vt:lpstr>
      <vt:lpstr>GrainTypeMetrics</vt:lpstr>
      <vt:lpstr>Halimeda!HalimedaInitialMetrics</vt:lpstr>
      <vt:lpstr>TransectGrainType</vt:lpstr>
      <vt:lpstr>TransectSedProduction</vt:lpstr>
      <vt:lpstr>UdoteaInitialMetrics</vt:lpstr>
      <vt:lpstr>UdoteaMetrics</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 Perry</dc:creator>
  <cp:keywords/>
  <dc:description/>
  <cp:lastModifiedBy>Hale, Francesca</cp:lastModifiedBy>
  <cp:revision/>
  <dcterms:created xsi:type="dcterms:W3CDTF">2014-09-19T13:55:22Z</dcterms:created>
  <dcterms:modified xsi:type="dcterms:W3CDTF">2026-10-06T10:22:44Z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0x010100B26A3B7F7948EF48AA93BBA6A6ABDE78</vt:lpwstr>
  </property>
</Properties>
</file>